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filterPrivacy="1"/>
  <xr:revisionPtr revIDLastSave="0" documentId="13_ncr:1_{2256BB83-9872-AE4B-BF58-2010B8E0B3A4}" xr6:coauthVersionLast="47" xr6:coauthVersionMax="47" xr10:uidLastSave="{00000000-0000-0000-0000-000000000000}"/>
  <bookViews>
    <workbookView xWindow="0" yWindow="660" windowWidth="29040" windowHeight="17520" activeTab="1" xr2:uid="{00000000-000D-0000-FFFF-FFFF00000000}"/>
  </bookViews>
  <sheets>
    <sheet name="Cognos_Office_Connection_Cache" sheetId="4" state="veryHidden" r:id="rId1"/>
    <sheet name="Group" sheetId="1" r:id="rId2"/>
    <sheet name="Sweden" sheetId="2" r:id="rId3"/>
    <sheet name="Norway" sheetId="5" r:id="rId4"/>
    <sheet name="Denmark" sheetId="6" r:id="rId5"/>
    <sheet name="Finland" sheetId="7" r:id="rId6"/>
    <sheet name="Definitions" sheetId="11" r:id="rId7"/>
    <sheet name="Nordnet by quarter (old)" sheetId="3" state="hidden" r:id="rId8"/>
  </sheets>
  <definedNames>
    <definedName name="_xlnm._FilterDatabase" localSheetId="6" hidden="1">Definitions!$B$2:$D$59</definedName>
    <definedName name="ID" localSheetId="0" hidden="1">"adafef87-01b2-4b1f-8a82-6f89eb5df80b"</definedName>
    <definedName name="ID" localSheetId="6" hidden="1">"f88a77b5-921a-4c1a-b57c-fde3984871fc"</definedName>
    <definedName name="ID" localSheetId="4" hidden="1">"c870438e-7aeb-4979-bbc4-2fc14cd5c440"</definedName>
    <definedName name="ID" localSheetId="5" hidden="1">"0072a634-5f79-415f-8ca0-12e4eeac501b"</definedName>
    <definedName name="ID" localSheetId="1" hidden="1">"78432441-dd5b-4192-97d6-697570aaae5e"</definedName>
    <definedName name="ID" localSheetId="7" hidden="1">"56e7bf69-1f7a-40fb-8656-5cd54de0b487"</definedName>
    <definedName name="ID" localSheetId="3" hidden="1">"f918ad3f-636f-4d13-89cc-9a90c98182d3"</definedName>
    <definedName name="ID" localSheetId="2" hidden="1">"009642bc-a78c-4217-bded-9cdc6076cadd"</definedName>
    <definedName name="_xlnm.Print_Area" localSheetId="1">Group!$A$1:$AU$123</definedName>
    <definedName name="_xlnm.Print_Area" localSheetId="2">Sweden!$A$1:$AV$59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9" i="2" l="1"/>
  <c r="AK46" i="1"/>
  <c r="AL24" i="6" l="1"/>
  <c r="AL49" i="7"/>
  <c r="AL47" i="7"/>
  <c r="AL50" i="7" s="1"/>
  <c r="AL40" i="7"/>
  <c r="AL34" i="7"/>
  <c r="AL33" i="7"/>
  <c r="AL32" i="7"/>
  <c r="AL31" i="7"/>
  <c r="AL29" i="7"/>
  <c r="AL28" i="7"/>
  <c r="AL24" i="7"/>
  <c r="AL18" i="7"/>
  <c r="AL12" i="7"/>
  <c r="AL8" i="7"/>
  <c r="AL49" i="6"/>
  <c r="AL47" i="6"/>
  <c r="AL50" i="6" s="1"/>
  <c r="AL40" i="6"/>
  <c r="AL34" i="6"/>
  <c r="AL33" i="6"/>
  <c r="AL32" i="6"/>
  <c r="AL31" i="6"/>
  <c r="AL29" i="6"/>
  <c r="AL28" i="6"/>
  <c r="AL18" i="6"/>
  <c r="AL12" i="6"/>
  <c r="AL8" i="6"/>
  <c r="AL50" i="5"/>
  <c r="AL49" i="5"/>
  <c r="AL47" i="5"/>
  <c r="AL40" i="5"/>
  <c r="AL34" i="5"/>
  <c r="AL33" i="5"/>
  <c r="AL32" i="5"/>
  <c r="AL31" i="5"/>
  <c r="AL29" i="5"/>
  <c r="AL28" i="5"/>
  <c r="AL24" i="5"/>
  <c r="AL18" i="5"/>
  <c r="AL12" i="5"/>
  <c r="AL8" i="5"/>
  <c r="AL50" i="2"/>
  <c r="AL49" i="2"/>
  <c r="AL47" i="2"/>
  <c r="AL40" i="2"/>
  <c r="AL34" i="2"/>
  <c r="AL33" i="2"/>
  <c r="AL32" i="2"/>
  <c r="AL31" i="2"/>
  <c r="AL28" i="2"/>
  <c r="AL24" i="2"/>
  <c r="AL8" i="2"/>
  <c r="AL12" i="2"/>
  <c r="AL18" i="2"/>
  <c r="AL59" i="7"/>
  <c r="AL58" i="7"/>
  <c r="AL59" i="6"/>
  <c r="AL58" i="6"/>
  <c r="AL59" i="5"/>
  <c r="AL58" i="5"/>
  <c r="AL59" i="2"/>
  <c r="AL58" i="2"/>
  <c r="AK109" i="1"/>
  <c r="AK108" i="1"/>
  <c r="AK107" i="1"/>
  <c r="AK106" i="1"/>
  <c r="AK105" i="1"/>
  <c r="AK92" i="1"/>
  <c r="AK91" i="1"/>
  <c r="AK90" i="1"/>
  <c r="AK89" i="1"/>
  <c r="AK88" i="1"/>
  <c r="AK87" i="1"/>
  <c r="AK86" i="1"/>
  <c r="AK85" i="1"/>
  <c r="AK84" i="1"/>
  <c r="AK83" i="1"/>
  <c r="AK82" i="1"/>
  <c r="AK79" i="1"/>
  <c r="AK78" i="1"/>
  <c r="AK70" i="1"/>
  <c r="AK68" i="1"/>
  <c r="AK67" i="1"/>
  <c r="AK65" i="1"/>
  <c r="AK58" i="1"/>
  <c r="AK52" i="1"/>
  <c r="AK51" i="1"/>
  <c r="AK50" i="1"/>
  <c r="AK49" i="1"/>
  <c r="AK48" i="1"/>
  <c r="AK45" i="1"/>
  <c r="AK39" i="1"/>
  <c r="AK38" i="1"/>
  <c r="AK35" i="1"/>
  <c r="AK31" i="1"/>
  <c r="AK25" i="1"/>
  <c r="AK21" i="1"/>
  <c r="AK15" i="1"/>
  <c r="AK11" i="1"/>
  <c r="AU115" i="1" l="1"/>
  <c r="AU104" i="1"/>
  <c r="AU103" i="1"/>
  <c r="AU100" i="1"/>
  <c r="AU99" i="1"/>
  <c r="AU98" i="1"/>
  <c r="AU97" i="1"/>
  <c r="AU96" i="1"/>
  <c r="AU95" i="1"/>
  <c r="AU77" i="1"/>
  <c r="AU76" i="1"/>
  <c r="AU75" i="1"/>
  <c r="AU74" i="1"/>
  <c r="AU73" i="1"/>
  <c r="AU64" i="1"/>
  <c r="AU63" i="1"/>
  <c r="AU62" i="1"/>
  <c r="AU61" i="1"/>
  <c r="AU57" i="1"/>
  <c r="AU56" i="1"/>
  <c r="AU55" i="1"/>
  <c r="AU58" i="1" s="1"/>
  <c r="AU47" i="1"/>
  <c r="AU44" i="1"/>
  <c r="AU41" i="1"/>
  <c r="AU33" i="1"/>
  <c r="AU28" i="1"/>
  <c r="AU27" i="1"/>
  <c r="AU24" i="1"/>
  <c r="AU23" i="1"/>
  <c r="AU20" i="1"/>
  <c r="AU19" i="1"/>
  <c r="AU18" i="1"/>
  <c r="AU17" i="1"/>
  <c r="AU12" i="1"/>
  <c r="AU10" i="1"/>
  <c r="AU9" i="1"/>
  <c r="AU83" i="1" s="1"/>
  <c r="AU8" i="1"/>
  <c r="AJ105" i="1"/>
  <c r="AJ83" i="1"/>
  <c r="AJ82" i="1"/>
  <c r="AJ79" i="1"/>
  <c r="AJ78" i="1"/>
  <c r="AJ65" i="1"/>
  <c r="AJ58" i="1"/>
  <c r="AJ67" i="1" s="1"/>
  <c r="AJ46" i="1"/>
  <c r="AJ45" i="1"/>
  <c r="AJ21" i="1"/>
  <c r="AJ11" i="1"/>
  <c r="AK59" i="2"/>
  <c r="AK58" i="2"/>
  <c r="AK47" i="2"/>
  <c r="AK50" i="2" s="1"/>
  <c r="AK40" i="2"/>
  <c r="AK49" i="2" s="1"/>
  <c r="AK29" i="2"/>
  <c r="AK28" i="2"/>
  <c r="AK8" i="2"/>
  <c r="AK12" i="2" s="1"/>
  <c r="AU82" i="1" l="1"/>
  <c r="AU79" i="1"/>
  <c r="AU11" i="1"/>
  <c r="AU21" i="1"/>
  <c r="AU67" i="1"/>
  <c r="AU65" i="1"/>
  <c r="AU78" i="1"/>
  <c r="AU105" i="1"/>
  <c r="AJ84" i="1"/>
  <c r="AJ15" i="1"/>
  <c r="AJ88" i="1"/>
  <c r="AJ51" i="1"/>
  <c r="AJ25" i="1"/>
  <c r="AJ68" i="1"/>
  <c r="AK33" i="2"/>
  <c r="AK18" i="2"/>
  <c r="AK24" i="2" s="1"/>
  <c r="AU68" i="1" l="1"/>
  <c r="AU84" i="1"/>
  <c r="AJ87" i="1"/>
  <c r="AJ52" i="1"/>
  <c r="AJ31" i="1"/>
  <c r="AJ50" i="1"/>
  <c r="AK59" i="5"/>
  <c r="AK58" i="5"/>
  <c r="AK47" i="5"/>
  <c r="AK50" i="5" s="1"/>
  <c r="AK40" i="5"/>
  <c r="AK49" i="5" s="1"/>
  <c r="AK29" i="5"/>
  <c r="AK28" i="5"/>
  <c r="AK8" i="5"/>
  <c r="AK12" i="5" s="1"/>
  <c r="AK59" i="6"/>
  <c r="AK58" i="6"/>
  <c r="AK47" i="6"/>
  <c r="AK50" i="6" s="1"/>
  <c r="AK40" i="6"/>
  <c r="AK49" i="6" s="1"/>
  <c r="AK29" i="6"/>
  <c r="AK28" i="6"/>
  <c r="AK8" i="6"/>
  <c r="AK12" i="6" s="1"/>
  <c r="AK59" i="7"/>
  <c r="AK58" i="7"/>
  <c r="AK47" i="7"/>
  <c r="AK50" i="7" s="1"/>
  <c r="AK40" i="7"/>
  <c r="AK49" i="7" s="1"/>
  <c r="AK29" i="7"/>
  <c r="AK28" i="7"/>
  <c r="AK8" i="7"/>
  <c r="AK12" i="7" s="1"/>
  <c r="AV56" i="7"/>
  <c r="AU56" i="7"/>
  <c r="AT56" i="7"/>
  <c r="AS56" i="7"/>
  <c r="AR56" i="7"/>
  <c r="AQ56" i="7"/>
  <c r="AP56" i="7"/>
  <c r="AV56" i="6"/>
  <c r="AU56" i="6"/>
  <c r="AT56" i="6"/>
  <c r="AS56" i="6"/>
  <c r="AR56" i="6"/>
  <c r="AQ56" i="6"/>
  <c r="AP56" i="6"/>
  <c r="AV56" i="5"/>
  <c r="AU56" i="5"/>
  <c r="AT56" i="5"/>
  <c r="AS56" i="5"/>
  <c r="AR56" i="5"/>
  <c r="AQ56" i="5"/>
  <c r="AP56" i="5"/>
  <c r="AV56" i="2"/>
  <c r="AU56" i="2"/>
  <c r="AT56" i="2"/>
  <c r="AS56" i="2"/>
  <c r="AR56" i="2"/>
  <c r="AQ56" i="2"/>
  <c r="AP56" i="2"/>
  <c r="AN76" i="1"/>
  <c r="AT76" i="1"/>
  <c r="AS76" i="1"/>
  <c r="AR76" i="1"/>
  <c r="AQ76" i="1"/>
  <c r="AP76" i="1"/>
  <c r="AO76" i="1"/>
  <c r="AJ90" i="1" l="1"/>
  <c r="AJ35" i="1"/>
  <c r="AK33" i="5"/>
  <c r="AK18" i="5"/>
  <c r="AK24" i="5" s="1"/>
  <c r="AK33" i="6"/>
  <c r="AK18" i="6"/>
  <c r="AK24" i="6" s="1"/>
  <c r="AK33" i="7"/>
  <c r="AK18" i="7"/>
  <c r="AK24" i="7" s="1"/>
  <c r="AI105" i="1"/>
  <c r="AJ107" i="1" l="1"/>
  <c r="AJ106" i="1"/>
  <c r="AJ39" i="1"/>
  <c r="AJ38" i="1"/>
  <c r="AI14" i="1"/>
  <c r="AU14" i="1" s="1"/>
  <c r="AH13" i="1"/>
  <c r="AU13" i="1" s="1"/>
  <c r="AU15" i="1" s="1"/>
  <c r="AU25" i="1" l="1"/>
  <c r="AU88" i="1"/>
  <c r="AJ109" i="1"/>
  <c r="AJ108" i="1"/>
  <c r="AJ89" i="1"/>
  <c r="AV57" i="7"/>
  <c r="AV55" i="7"/>
  <c r="AV54" i="7"/>
  <c r="AV53" i="7"/>
  <c r="AV44" i="7"/>
  <c r="AV43" i="7"/>
  <c r="AV39" i="7"/>
  <c r="AV38" i="7"/>
  <c r="AV37" i="7"/>
  <c r="AV40" i="7" s="1"/>
  <c r="AV30" i="7"/>
  <c r="AV27" i="7"/>
  <c r="AV17" i="7"/>
  <c r="AV16" i="7"/>
  <c r="AV14" i="7"/>
  <c r="AV11" i="7"/>
  <c r="AV10" i="7"/>
  <c r="AV9" i="7"/>
  <c r="AV7" i="7"/>
  <c r="AV6" i="7"/>
  <c r="AV5" i="7"/>
  <c r="AV8" i="7" s="1"/>
  <c r="AV57" i="6"/>
  <c r="AV55" i="6"/>
  <c r="AV54" i="6"/>
  <c r="AV53" i="6"/>
  <c r="AV44" i="6"/>
  <c r="AV43" i="6"/>
  <c r="AV39" i="6"/>
  <c r="AV38" i="6"/>
  <c r="AV37" i="6"/>
  <c r="AV40" i="6" s="1"/>
  <c r="AV30" i="6"/>
  <c r="AV27" i="6"/>
  <c r="AV20" i="6"/>
  <c r="AV17" i="6"/>
  <c r="AV16" i="6"/>
  <c r="AV14" i="6"/>
  <c r="AV11" i="6"/>
  <c r="AV10" i="6"/>
  <c r="AV9" i="6"/>
  <c r="AV7" i="6"/>
  <c r="AV6" i="6"/>
  <c r="AV5" i="6"/>
  <c r="AV57" i="5"/>
  <c r="AV55" i="5"/>
  <c r="AV54" i="5"/>
  <c r="AV53" i="5"/>
  <c r="AV45" i="5"/>
  <c r="AV44" i="5"/>
  <c r="AV43" i="5"/>
  <c r="AV39" i="5"/>
  <c r="AV38" i="5"/>
  <c r="AV37" i="5"/>
  <c r="AV40" i="5" s="1"/>
  <c r="AV30" i="5"/>
  <c r="AV27" i="5"/>
  <c r="AV17" i="5"/>
  <c r="AV16" i="5"/>
  <c r="AV14" i="5"/>
  <c r="AV11" i="5"/>
  <c r="AV10" i="5"/>
  <c r="AV9" i="5"/>
  <c r="AV7" i="5"/>
  <c r="AV6" i="5"/>
  <c r="AV5" i="5"/>
  <c r="AV57" i="2"/>
  <c r="AV55" i="2"/>
  <c r="AV54" i="2"/>
  <c r="AV53" i="2"/>
  <c r="AV46" i="2"/>
  <c r="AV45" i="2"/>
  <c r="AV44" i="2"/>
  <c r="AV43" i="2"/>
  <c r="AV39" i="2"/>
  <c r="AV38" i="2"/>
  <c r="AV37" i="2"/>
  <c r="AV40" i="2" s="1"/>
  <c r="AV30" i="2"/>
  <c r="AV27" i="2"/>
  <c r="AV21" i="2"/>
  <c r="AV20" i="2"/>
  <c r="AV17" i="2"/>
  <c r="AV16" i="2"/>
  <c r="AV14" i="2"/>
  <c r="AV11" i="2"/>
  <c r="AV10" i="2"/>
  <c r="AV9" i="2"/>
  <c r="AV7" i="2"/>
  <c r="AV6" i="2"/>
  <c r="AV5" i="2"/>
  <c r="AJ59" i="6"/>
  <c r="AJ58" i="6"/>
  <c r="AJ59" i="7"/>
  <c r="AJ58" i="7"/>
  <c r="AJ59" i="5"/>
  <c r="AJ58" i="5"/>
  <c r="AJ47" i="6"/>
  <c r="AJ50" i="6" s="1"/>
  <c r="AJ47" i="7"/>
  <c r="AJ50" i="7" s="1"/>
  <c r="AJ47" i="5"/>
  <c r="AJ50" i="5" s="1"/>
  <c r="AJ40" i="6"/>
  <c r="AJ49" i="6" s="1"/>
  <c r="AJ40" i="7"/>
  <c r="AJ49" i="7" s="1"/>
  <c r="AJ40" i="5"/>
  <c r="AJ49" i="5" s="1"/>
  <c r="AJ29" i="6"/>
  <c r="AJ28" i="6"/>
  <c r="AJ29" i="7"/>
  <c r="AJ28" i="7"/>
  <c r="AJ29" i="5"/>
  <c r="AJ28" i="5"/>
  <c r="AJ8" i="6"/>
  <c r="AJ12" i="6" s="1"/>
  <c r="AI8" i="6"/>
  <c r="AH8" i="6"/>
  <c r="AJ8" i="7"/>
  <c r="AJ12" i="7" s="1"/>
  <c r="AI8" i="7"/>
  <c r="AH8" i="7"/>
  <c r="AJ8" i="5"/>
  <c r="AI8" i="5"/>
  <c r="AH8" i="5"/>
  <c r="AJ8" i="2"/>
  <c r="AI8" i="2"/>
  <c r="AJ59" i="2"/>
  <c r="AJ58" i="2"/>
  <c r="AJ47" i="2"/>
  <c r="AJ50" i="2" s="1"/>
  <c r="AJ40" i="2"/>
  <c r="AJ49" i="2" s="1"/>
  <c r="AJ29" i="2"/>
  <c r="AJ28" i="2"/>
  <c r="AJ12" i="2"/>
  <c r="AI83" i="1"/>
  <c r="AI82" i="1"/>
  <c r="AI79" i="1"/>
  <c r="AI78" i="1"/>
  <c r="AI65" i="1"/>
  <c r="AI58" i="1"/>
  <c r="AI67" i="1" s="1"/>
  <c r="AI46" i="1"/>
  <c r="AI45" i="1"/>
  <c r="AI21" i="1"/>
  <c r="AI11" i="1"/>
  <c r="AI84" i="1" s="1"/>
  <c r="AI15" i="1"/>
  <c r="AI50" i="1" s="1"/>
  <c r="AI68" i="1" l="1"/>
  <c r="AJ70" i="1"/>
  <c r="AU87" i="1"/>
  <c r="AU31" i="1"/>
  <c r="AJ33" i="7"/>
  <c r="AJ18" i="7"/>
  <c r="AJ24" i="7" s="1"/>
  <c r="AJ33" i="6"/>
  <c r="AJ18" i="6"/>
  <c r="AJ24" i="6" s="1"/>
  <c r="AJ12" i="5"/>
  <c r="AI88" i="1"/>
  <c r="AI51" i="1"/>
  <c r="AI25" i="1"/>
  <c r="AV59" i="7"/>
  <c r="AV12" i="7"/>
  <c r="AV18" i="7"/>
  <c r="AV24" i="7"/>
  <c r="AV49" i="7"/>
  <c r="AV47" i="7"/>
  <c r="AV50" i="7" s="1"/>
  <c r="AV59" i="6"/>
  <c r="AV8" i="6"/>
  <c r="AV12" i="6" s="1"/>
  <c r="AV18" i="6"/>
  <c r="AV24" i="6"/>
  <c r="AV49" i="6"/>
  <c r="AV47" i="6"/>
  <c r="AV50" i="6" s="1"/>
  <c r="AV59" i="5"/>
  <c r="AV8" i="5"/>
  <c r="AV49" i="5"/>
  <c r="AV47" i="5"/>
  <c r="AV50" i="5" s="1"/>
  <c r="AV59" i="2"/>
  <c r="AV8" i="2"/>
  <c r="AV12" i="2" s="1"/>
  <c r="AV18" i="2"/>
  <c r="AV24" i="2"/>
  <c r="AV49" i="2"/>
  <c r="AV47" i="2"/>
  <c r="AV50" i="2" s="1"/>
  <c r="AJ33" i="2"/>
  <c r="AJ18" i="2"/>
  <c r="AJ24" i="2" s="1"/>
  <c r="AI12" i="6"/>
  <c r="AI12" i="2"/>
  <c r="AH21" i="1"/>
  <c r="AH11" i="1"/>
  <c r="AH15" i="1" s="1"/>
  <c r="AH105" i="1"/>
  <c r="AI59" i="7"/>
  <c r="AI58" i="7"/>
  <c r="AI47" i="7"/>
  <c r="AI50" i="7" s="1"/>
  <c r="AI40" i="7"/>
  <c r="AI49" i="7" s="1"/>
  <c r="AI29" i="7"/>
  <c r="AI28" i="7"/>
  <c r="AI12" i="7"/>
  <c r="AI59" i="6"/>
  <c r="AI58" i="6"/>
  <c r="AI47" i="6"/>
  <c r="AI50" i="6" s="1"/>
  <c r="AI40" i="6"/>
  <c r="AI49" i="6" s="1"/>
  <c r="AI33" i="6"/>
  <c r="AI29" i="6"/>
  <c r="AI28" i="6"/>
  <c r="AI12" i="5"/>
  <c r="AI59" i="5"/>
  <c r="AI58" i="5"/>
  <c r="AI47" i="5"/>
  <c r="AI50" i="5" s="1"/>
  <c r="AI40" i="5"/>
  <c r="AI49" i="5" s="1"/>
  <c r="AI33" i="5"/>
  <c r="AI29" i="5"/>
  <c r="AI28" i="5"/>
  <c r="AI59" i="2"/>
  <c r="AI58" i="2"/>
  <c r="AI47" i="2"/>
  <c r="AI50" i="2" s="1"/>
  <c r="AI40" i="2"/>
  <c r="AI49" i="2" s="1"/>
  <c r="AI33" i="2"/>
  <c r="AI29" i="2"/>
  <c r="AI28" i="2"/>
  <c r="AI18" i="6" l="1"/>
  <c r="AI24" i="6" s="1"/>
  <c r="AI18" i="2"/>
  <c r="AI24" i="2" s="1"/>
  <c r="AU35" i="1"/>
  <c r="AU90" i="1"/>
  <c r="AI18" i="5"/>
  <c r="AV12" i="5"/>
  <c r="AJ33" i="5"/>
  <c r="AJ18" i="5"/>
  <c r="AI87" i="1"/>
  <c r="AI52" i="1"/>
  <c r="AI31" i="1"/>
  <c r="AI33" i="7"/>
  <c r="AI18" i="7"/>
  <c r="AI24" i="7" s="1"/>
  <c r="AH25" i="1"/>
  <c r="AH31" i="1" s="1"/>
  <c r="AH90" i="1"/>
  <c r="AH88" i="1"/>
  <c r="AH87" i="1"/>
  <c r="AH84" i="1"/>
  <c r="AH83" i="1"/>
  <c r="AH82" i="1"/>
  <c r="AH79" i="1"/>
  <c r="AH78" i="1"/>
  <c r="AH65" i="1"/>
  <c r="AH58" i="1"/>
  <c r="AH67" i="1" s="1"/>
  <c r="AH52" i="1"/>
  <c r="AH51" i="1"/>
  <c r="AH50" i="1"/>
  <c r="AH46" i="1"/>
  <c r="AH45" i="1"/>
  <c r="AH35" i="1"/>
  <c r="AG105" i="1"/>
  <c r="AH47" i="7"/>
  <c r="AH50" i="7" s="1"/>
  <c r="AH40" i="7"/>
  <c r="AH29" i="7"/>
  <c r="AH28" i="7"/>
  <c r="AH12" i="7"/>
  <c r="AG8" i="7"/>
  <c r="AH47" i="6"/>
  <c r="AH50" i="6" s="1"/>
  <c r="AH40" i="6"/>
  <c r="AH29" i="6"/>
  <c r="AH28" i="6"/>
  <c r="AH12" i="6"/>
  <c r="AH18" i="6" l="1"/>
  <c r="AH24" i="6" s="1"/>
  <c r="AU107" i="1"/>
  <c r="AU106" i="1"/>
  <c r="AU39" i="1"/>
  <c r="AU38" i="1"/>
  <c r="AJ24" i="5"/>
  <c r="AV18" i="5"/>
  <c r="AI24" i="5"/>
  <c r="AH68" i="1"/>
  <c r="AI70" i="1"/>
  <c r="AI90" i="1"/>
  <c r="AI35" i="1"/>
  <c r="AH107" i="1"/>
  <c r="AH106" i="1"/>
  <c r="AH38" i="1"/>
  <c r="AH39" i="1"/>
  <c r="AH33" i="7"/>
  <c r="AH18" i="7"/>
  <c r="AH24" i="7" s="1"/>
  <c r="AH49" i="7"/>
  <c r="AH49" i="6"/>
  <c r="AH33" i="6"/>
  <c r="AH47" i="5"/>
  <c r="AH50" i="5" s="1"/>
  <c r="AH40" i="5"/>
  <c r="AH29" i="5"/>
  <c r="AH28" i="5"/>
  <c r="AH12" i="5"/>
  <c r="AH59" i="2"/>
  <c r="AH58" i="2"/>
  <c r="AH47" i="2"/>
  <c r="AH50" i="2" s="1"/>
  <c r="AH40" i="2"/>
  <c r="AH29" i="2"/>
  <c r="AH28" i="2"/>
  <c r="AH8" i="2"/>
  <c r="AH12" i="2" s="1"/>
  <c r="AG65" i="1"/>
  <c r="AG58" i="1"/>
  <c r="AG46" i="1"/>
  <c r="AG45" i="1"/>
  <c r="AG21" i="1"/>
  <c r="AG11" i="1"/>
  <c r="AG15" i="1" s="1"/>
  <c r="AH49" i="2" l="1"/>
  <c r="AG50" i="1"/>
  <c r="AG67" i="1"/>
  <c r="AU109" i="1"/>
  <c r="AU108" i="1"/>
  <c r="AU89" i="1"/>
  <c r="AI107" i="1"/>
  <c r="AI106" i="1"/>
  <c r="AV24" i="5"/>
  <c r="AI39" i="1"/>
  <c r="AI38" i="1"/>
  <c r="AH18" i="2"/>
  <c r="AH24" i="2" s="1"/>
  <c r="AG51" i="1"/>
  <c r="AG25" i="1"/>
  <c r="AG52" i="1" s="1"/>
  <c r="AH70" i="1"/>
  <c r="AG68" i="1"/>
  <c r="AH109" i="1"/>
  <c r="AH108" i="1"/>
  <c r="AH89" i="1"/>
  <c r="AH18" i="5"/>
  <c r="AH33" i="5"/>
  <c r="AH49" i="5"/>
  <c r="AH33" i="2"/>
  <c r="AG31" i="1"/>
  <c r="AG35" i="1" s="1"/>
  <c r="AJ92" i="1" s="1"/>
  <c r="AH59" i="7"/>
  <c r="AH58" i="7"/>
  <c r="AH59" i="6"/>
  <c r="AH58" i="6"/>
  <c r="AH59" i="5"/>
  <c r="AH58" i="5"/>
  <c r="AG83" i="1"/>
  <c r="AG82" i="1"/>
  <c r="AG79" i="1"/>
  <c r="AG78" i="1"/>
  <c r="AG12" i="7"/>
  <c r="AG8" i="6"/>
  <c r="AG12" i="6" s="1"/>
  <c r="AG8" i="5"/>
  <c r="AG8" i="2"/>
  <c r="AG12" i="2" s="1"/>
  <c r="AG29" i="2"/>
  <c r="AF46" i="1"/>
  <c r="AF11" i="1"/>
  <c r="AF84" i="1" s="1"/>
  <c r="AF105" i="1"/>
  <c r="AG59" i="7"/>
  <c r="AG58" i="7"/>
  <c r="AG47" i="7"/>
  <c r="AG50" i="7" s="1"/>
  <c r="AG40" i="7"/>
  <c r="AG29" i="7"/>
  <c r="AG28" i="7"/>
  <c r="AV28" i="7" s="1"/>
  <c r="AG59" i="6"/>
  <c r="AG58" i="6"/>
  <c r="AG47" i="6"/>
  <c r="AG50" i="6" s="1"/>
  <c r="AG40" i="6"/>
  <c r="AG29" i="6"/>
  <c r="AG28" i="6"/>
  <c r="AV28" i="6" s="1"/>
  <c r="AG59" i="5"/>
  <c r="AG58" i="5"/>
  <c r="AG47" i="5"/>
  <c r="AG50" i="5" s="1"/>
  <c r="AG40" i="5"/>
  <c r="AG29" i="5"/>
  <c r="AG28" i="5"/>
  <c r="AV28" i="5" s="1"/>
  <c r="AG59" i="2"/>
  <c r="AG58" i="2"/>
  <c r="AG47" i="2"/>
  <c r="AG50" i="2" s="1"/>
  <c r="AG40" i="2"/>
  <c r="AG28" i="2"/>
  <c r="AV28" i="2" s="1"/>
  <c r="AF83" i="1"/>
  <c r="AF82" i="1"/>
  <c r="AF79" i="1"/>
  <c r="AF78" i="1"/>
  <c r="AF65" i="1"/>
  <c r="AG70" i="1" s="1"/>
  <c r="AF58" i="1"/>
  <c r="AF45" i="1"/>
  <c r="AF21" i="1"/>
  <c r="AG49" i="7" l="1"/>
  <c r="AK32" i="7"/>
  <c r="AK31" i="7"/>
  <c r="AK34" i="7"/>
  <c r="AG49" i="6"/>
  <c r="AK32" i="6"/>
  <c r="AK31" i="6"/>
  <c r="AK34" i="6"/>
  <c r="AG49" i="5"/>
  <c r="AK32" i="5"/>
  <c r="AK31" i="5"/>
  <c r="AK34" i="5"/>
  <c r="AG49" i="2"/>
  <c r="AK32" i="2"/>
  <c r="AK31" i="2"/>
  <c r="AK34" i="2"/>
  <c r="AJ49" i="1"/>
  <c r="AJ48" i="1"/>
  <c r="AJ85" i="1"/>
  <c r="AJ86" i="1"/>
  <c r="AI89" i="1"/>
  <c r="AI109" i="1"/>
  <c r="AI108" i="1"/>
  <c r="AG18" i="7"/>
  <c r="AG24" i="7" s="1"/>
  <c r="AG12" i="5"/>
  <c r="AH24" i="5"/>
  <c r="AF51" i="1"/>
  <c r="AF15" i="1"/>
  <c r="AG107" i="1"/>
  <c r="AG106" i="1"/>
  <c r="AG39" i="1"/>
  <c r="AG38" i="1"/>
  <c r="AJ91" i="1" s="1"/>
  <c r="AG33" i="7"/>
  <c r="AG84" i="1"/>
  <c r="AG88" i="1"/>
  <c r="AG18" i="6"/>
  <c r="AG24" i="6" s="1"/>
  <c r="AG33" i="6"/>
  <c r="AG33" i="5"/>
  <c r="AG18" i="2"/>
  <c r="AG24" i="2" s="1"/>
  <c r="AG33" i="2"/>
  <c r="AF88" i="1"/>
  <c r="AF25" i="1"/>
  <c r="AF31" i="1" s="1"/>
  <c r="AF90" i="1" s="1"/>
  <c r="AF67" i="1"/>
  <c r="AF68" i="1"/>
  <c r="AG18" i="5" l="1"/>
  <c r="AF50" i="1"/>
  <c r="AG109" i="1"/>
  <c r="AG108" i="1"/>
  <c r="AF35" i="1"/>
  <c r="AI92" i="1" s="1"/>
  <c r="AU92" i="1" s="1"/>
  <c r="AG87" i="1"/>
  <c r="AF52" i="1"/>
  <c r="AF87" i="1"/>
  <c r="AF106" i="1"/>
  <c r="AF38" i="1"/>
  <c r="AI91" i="1" s="1"/>
  <c r="AU91" i="1" s="1"/>
  <c r="AF107" i="1"/>
  <c r="AF39" i="1"/>
  <c r="AG24" i="5" l="1"/>
  <c r="AG90" i="1"/>
  <c r="AF109" i="1"/>
  <c r="AF89" i="1"/>
  <c r="AF108" i="1"/>
  <c r="AT103" i="1" l="1"/>
  <c r="AS103" i="1"/>
  <c r="AG89" i="1" l="1"/>
  <c r="AT100" i="1"/>
  <c r="AT99" i="1"/>
  <c r="AT98" i="1"/>
  <c r="AF11" i="2" l="1"/>
  <c r="AF9" i="2"/>
  <c r="AE18" i="1" l="1"/>
  <c r="AE17" i="1"/>
  <c r="AE23" i="1" l="1"/>
  <c r="AE14" i="1"/>
  <c r="AE12" i="1"/>
  <c r="AE11" i="1"/>
  <c r="AE15" i="1" s="1"/>
  <c r="AD11" i="1"/>
  <c r="AE21" i="1"/>
  <c r="AF8" i="7"/>
  <c r="AF12" i="7" s="1"/>
  <c r="AE8" i="7"/>
  <c r="AF8" i="6"/>
  <c r="AF12" i="6" s="1"/>
  <c r="AE8" i="6"/>
  <c r="AF8" i="5"/>
  <c r="AE8" i="5"/>
  <c r="AF8" i="2"/>
  <c r="AF12" i="2" s="1"/>
  <c r="AE8" i="2"/>
  <c r="AD8" i="2"/>
  <c r="AC8" i="2"/>
  <c r="AF12" i="5" l="1"/>
  <c r="AF18" i="7"/>
  <c r="AF18" i="6"/>
  <c r="AF18" i="5"/>
  <c r="AF18" i="2"/>
  <c r="AE25" i="1"/>
  <c r="AE31" i="1" s="1"/>
  <c r="AE35" i="1" s="1"/>
  <c r="AH92" i="1" s="1"/>
  <c r="AF59" i="6"/>
  <c r="AF58" i="6"/>
  <c r="AF40" i="6"/>
  <c r="AF47" i="6"/>
  <c r="AF50" i="6" s="1"/>
  <c r="AU30" i="7"/>
  <c r="AF59" i="7"/>
  <c r="AF58" i="7"/>
  <c r="AF47" i="7"/>
  <c r="AF50" i="7" s="1"/>
  <c r="AF40" i="7"/>
  <c r="AF33" i="7"/>
  <c r="AF29" i="7"/>
  <c r="AF28" i="7"/>
  <c r="AF24" i="7"/>
  <c r="AU57" i="7"/>
  <c r="AU55" i="7"/>
  <c r="AU54" i="7"/>
  <c r="AU53" i="7"/>
  <c r="AU44" i="7"/>
  <c r="AU43" i="7"/>
  <c r="AU47" i="7" s="1"/>
  <c r="AU39" i="7"/>
  <c r="AU38" i="7"/>
  <c r="AU37" i="7"/>
  <c r="AU40" i="7" s="1"/>
  <c r="AV31" i="7" s="1"/>
  <c r="AU27" i="7"/>
  <c r="AU21" i="7"/>
  <c r="AU17" i="7"/>
  <c r="AU16" i="7"/>
  <c r="AU14" i="7"/>
  <c r="AU11" i="7"/>
  <c r="AU10" i="7"/>
  <c r="AU9" i="7"/>
  <c r="AU7" i="7"/>
  <c r="AU6" i="7"/>
  <c r="AU5" i="7"/>
  <c r="AF24" i="5"/>
  <c r="AU21" i="5"/>
  <c r="AV29" i="7" l="1"/>
  <c r="AV58" i="7"/>
  <c r="AV33" i="7"/>
  <c r="AJ32" i="7"/>
  <c r="AV32" i="7" s="1"/>
  <c r="AJ31" i="7"/>
  <c r="AJ34" i="7"/>
  <c r="AV34" i="7" s="1"/>
  <c r="AJ32" i="6"/>
  <c r="AV32" i="6" s="1"/>
  <c r="AJ31" i="6"/>
  <c r="AJ34" i="6"/>
  <c r="AV34" i="6" s="1"/>
  <c r="AF49" i="7"/>
  <c r="AF49" i="6"/>
  <c r="AU59" i="7"/>
  <c r="AE38" i="1"/>
  <c r="AH91" i="1" s="1"/>
  <c r="AE39" i="1"/>
  <c r="AU50" i="7"/>
  <c r="AU49" i="7"/>
  <c r="AU8" i="7"/>
  <c r="AU12" i="7" s="1"/>
  <c r="AU18" i="7" l="1"/>
  <c r="AU24" i="7" s="1"/>
  <c r="AU21" i="6" l="1"/>
  <c r="AF33" i="6"/>
  <c r="AF24" i="6"/>
  <c r="AF29" i="6"/>
  <c r="AF28" i="6"/>
  <c r="AU44" i="6"/>
  <c r="AU37" i="6"/>
  <c r="AU30" i="6"/>
  <c r="AU27" i="6"/>
  <c r="AU17" i="6"/>
  <c r="AU16" i="6"/>
  <c r="AU57" i="6"/>
  <c r="AU55" i="6"/>
  <c r="AU54" i="6"/>
  <c r="AU53" i="6"/>
  <c r="AU43" i="6"/>
  <c r="AU47" i="6" s="1"/>
  <c r="AU39" i="6"/>
  <c r="AU38" i="6"/>
  <c r="AU14" i="6"/>
  <c r="AU11" i="6"/>
  <c r="AU10" i="6"/>
  <c r="AU9" i="6"/>
  <c r="AU7" i="6"/>
  <c r="AU6" i="6"/>
  <c r="AU5" i="6"/>
  <c r="AU22" i="2"/>
  <c r="AU21" i="2"/>
  <c r="AU20" i="2"/>
  <c r="AT28" i="1"/>
  <c r="AT27" i="1"/>
  <c r="AT29" i="1"/>
  <c r="AE46" i="1"/>
  <c r="AF29" i="2"/>
  <c r="AF59" i="5"/>
  <c r="AF58" i="5"/>
  <c r="AF47" i="5"/>
  <c r="AF50" i="5" s="1"/>
  <c r="AF29" i="5"/>
  <c r="AF28" i="5"/>
  <c r="AF33" i="5"/>
  <c r="AF40" i="5"/>
  <c r="AU44" i="5"/>
  <c r="AU43" i="5"/>
  <c r="AU39" i="5"/>
  <c r="AU38" i="5"/>
  <c r="AU37" i="5"/>
  <c r="AU40" i="5" s="1"/>
  <c r="AV31" i="5" s="1"/>
  <c r="AU30" i="5"/>
  <c r="AU27" i="5"/>
  <c r="AU17" i="5"/>
  <c r="AU16" i="5"/>
  <c r="AU6" i="5"/>
  <c r="AU5" i="5"/>
  <c r="AU57" i="5"/>
  <c r="AU55" i="5"/>
  <c r="AU54" i="5"/>
  <c r="AU53" i="5"/>
  <c r="AU45" i="5"/>
  <c r="AU14" i="5"/>
  <c r="AU11" i="5"/>
  <c r="AU10" i="5"/>
  <c r="AU9" i="5"/>
  <c r="AU7" i="5"/>
  <c r="AV29" i="6" l="1"/>
  <c r="AV58" i="6"/>
  <c r="AV33" i="6"/>
  <c r="AV29" i="5"/>
  <c r="AV58" i="5"/>
  <c r="AV33" i="5"/>
  <c r="AJ32" i="5"/>
  <c r="AV32" i="5" s="1"/>
  <c r="AJ31" i="5"/>
  <c r="AJ34" i="5"/>
  <c r="AV34" i="5" s="1"/>
  <c r="AU59" i="6"/>
  <c r="AF49" i="5"/>
  <c r="AU50" i="6"/>
  <c r="AU40" i="6"/>
  <c r="AV31" i="6" s="1"/>
  <c r="AU49" i="6"/>
  <c r="AU8" i="6"/>
  <c r="AU12" i="6" s="1"/>
  <c r="AU59" i="5"/>
  <c r="AU47" i="5"/>
  <c r="AU50" i="5" s="1"/>
  <c r="AU49" i="5"/>
  <c r="AU8" i="5"/>
  <c r="AU12" i="5" l="1"/>
  <c r="AU18" i="6"/>
  <c r="AU24" i="6" s="1"/>
  <c r="AU18" i="5"/>
  <c r="AU24" i="5" l="1"/>
  <c r="AF59" i="2"/>
  <c r="AF58" i="2"/>
  <c r="AF47" i="2"/>
  <c r="AF50" i="2" s="1"/>
  <c r="AF40" i="2"/>
  <c r="AF28" i="2"/>
  <c r="AF24" i="2"/>
  <c r="AU43" i="2"/>
  <c r="AU39" i="2"/>
  <c r="AU38" i="2"/>
  <c r="AU37" i="2"/>
  <c r="AU30" i="2"/>
  <c r="AU27" i="2"/>
  <c r="AU17" i="2"/>
  <c r="AU5" i="2"/>
  <c r="AU57" i="2"/>
  <c r="AU55" i="2"/>
  <c r="AU54" i="2"/>
  <c r="AU53" i="2"/>
  <c r="AU46" i="2"/>
  <c r="AU45" i="2"/>
  <c r="AU44" i="2"/>
  <c r="AU16" i="2"/>
  <c r="AU14" i="2"/>
  <c r="AU11" i="2"/>
  <c r="AU10" i="2"/>
  <c r="AU9" i="2"/>
  <c r="AU7" i="2"/>
  <c r="AU6" i="2"/>
  <c r="AS115" i="1"/>
  <c r="AT115" i="1"/>
  <c r="AV29" i="2" l="1"/>
  <c r="AV58" i="2"/>
  <c r="AV33" i="2"/>
  <c r="AJ32" i="2"/>
  <c r="AV32" i="2" s="1"/>
  <c r="AJ31" i="2"/>
  <c r="AJ34" i="2"/>
  <c r="AV34" i="2" s="1"/>
  <c r="AF49" i="2"/>
  <c r="AF33" i="2"/>
  <c r="AU59" i="2"/>
  <c r="AU40" i="2"/>
  <c r="AU47" i="2"/>
  <c r="AU50" i="2" s="1"/>
  <c r="AU8" i="2"/>
  <c r="AU12" i="2" s="1"/>
  <c r="AU49" i="2" l="1"/>
  <c r="AV31" i="2"/>
  <c r="AU18" i="2"/>
  <c r="AU24" i="2" s="1"/>
  <c r="AE105" i="1" l="1"/>
  <c r="AE84" i="1"/>
  <c r="AE83" i="1"/>
  <c r="AE82" i="1"/>
  <c r="AE79" i="1"/>
  <c r="AE78" i="1"/>
  <c r="AE65" i="1"/>
  <c r="AE58" i="1"/>
  <c r="AE51" i="1"/>
  <c r="AE50" i="1"/>
  <c r="AE45" i="1"/>
  <c r="AT64" i="1"/>
  <c r="AT63" i="1"/>
  <c r="AT62" i="1"/>
  <c r="AT57" i="1"/>
  <c r="AT56" i="1"/>
  <c r="AT18" i="1"/>
  <c r="AT17" i="1"/>
  <c r="AT14" i="1"/>
  <c r="AT13" i="1"/>
  <c r="AT12" i="1"/>
  <c r="AT104" i="1"/>
  <c r="AT105" i="1" s="1"/>
  <c r="AT97" i="1"/>
  <c r="AT96" i="1"/>
  <c r="AT95" i="1"/>
  <c r="AT77" i="1"/>
  <c r="AT75" i="1"/>
  <c r="AT74" i="1"/>
  <c r="AT73" i="1"/>
  <c r="AT61" i="1"/>
  <c r="AT55" i="1"/>
  <c r="AT47" i="1"/>
  <c r="AT44" i="1"/>
  <c r="AT41" i="1"/>
  <c r="AT33" i="1"/>
  <c r="AT24" i="1"/>
  <c r="AT23" i="1"/>
  <c r="AT20" i="1"/>
  <c r="AT19" i="1"/>
  <c r="AT10" i="1"/>
  <c r="AT9" i="1"/>
  <c r="AT8" i="1"/>
  <c r="AD105" i="1"/>
  <c r="AE47" i="7"/>
  <c r="AE50" i="7" s="1"/>
  <c r="AE40" i="7"/>
  <c r="AE29" i="7"/>
  <c r="AE28" i="7"/>
  <c r="AE12" i="7"/>
  <c r="AE47" i="6"/>
  <c r="AE50" i="6" s="1"/>
  <c r="AE40" i="6"/>
  <c r="AE29" i="6"/>
  <c r="AE28" i="6"/>
  <c r="AE12" i="6"/>
  <c r="AE47" i="5"/>
  <c r="AE50" i="5" s="1"/>
  <c r="AE40" i="5"/>
  <c r="AE29" i="5"/>
  <c r="AE28" i="5"/>
  <c r="AE12" i="5"/>
  <c r="AE47" i="2"/>
  <c r="AE50" i="2" s="1"/>
  <c r="AE40" i="2"/>
  <c r="AE29" i="2"/>
  <c r="AE28" i="2"/>
  <c r="AE12" i="2"/>
  <c r="AD21" i="1"/>
  <c r="AD15" i="1"/>
  <c r="AD46" i="1"/>
  <c r="AD45" i="1"/>
  <c r="AD58" i="1"/>
  <c r="AD65" i="1"/>
  <c r="AU45" i="1" l="1"/>
  <c r="AU46" i="1" s="1"/>
  <c r="AU51" i="1"/>
  <c r="AU50" i="1"/>
  <c r="AU52" i="1"/>
  <c r="AI49" i="1"/>
  <c r="AU49" i="1" s="1"/>
  <c r="AI48" i="1"/>
  <c r="AI86" i="1"/>
  <c r="AU86" i="1" s="1"/>
  <c r="AI85" i="1"/>
  <c r="AU85" i="1" s="1"/>
  <c r="AE49" i="2"/>
  <c r="AI32" i="2"/>
  <c r="AI31" i="2"/>
  <c r="AI34" i="2"/>
  <c r="AE49" i="5"/>
  <c r="AI32" i="5"/>
  <c r="AI31" i="5"/>
  <c r="AI34" i="5"/>
  <c r="AE49" i="6"/>
  <c r="AI32" i="6"/>
  <c r="AI31" i="6"/>
  <c r="AI34" i="6"/>
  <c r="AI32" i="7"/>
  <c r="AI31" i="7"/>
  <c r="AI34" i="7"/>
  <c r="AD67" i="1"/>
  <c r="AH49" i="1"/>
  <c r="AH48" i="1"/>
  <c r="AH86" i="1"/>
  <c r="AH85" i="1"/>
  <c r="AE33" i="7"/>
  <c r="AE33" i="6"/>
  <c r="AE33" i="5"/>
  <c r="AE33" i="2"/>
  <c r="AD51" i="1"/>
  <c r="AD25" i="1"/>
  <c r="AT79" i="1"/>
  <c r="AE68" i="1"/>
  <c r="AF70" i="1"/>
  <c r="AE67" i="1"/>
  <c r="AE70" i="1"/>
  <c r="AT78" i="1"/>
  <c r="AE18" i="7"/>
  <c r="AE24" i="7" s="1"/>
  <c r="AE18" i="6"/>
  <c r="AE24" i="6" s="1"/>
  <c r="AE49" i="7"/>
  <c r="AE18" i="2"/>
  <c r="AE24" i="2" s="1"/>
  <c r="AE88" i="1"/>
  <c r="AE52" i="1"/>
  <c r="AE87" i="1"/>
  <c r="AE18" i="5"/>
  <c r="AT21" i="1"/>
  <c r="AT65" i="1"/>
  <c r="AU70" i="1" s="1"/>
  <c r="AT83" i="1"/>
  <c r="AT58" i="1"/>
  <c r="AU48" i="1" s="1"/>
  <c r="AT11" i="1"/>
  <c r="AT84" i="1" s="1"/>
  <c r="AT82" i="1"/>
  <c r="AD52" i="1"/>
  <c r="AD31" i="1"/>
  <c r="AD35" i="1" s="1"/>
  <c r="AD50" i="1"/>
  <c r="AD68" i="1"/>
  <c r="AT67" i="1" l="1"/>
  <c r="AT68" i="1"/>
  <c r="AE24" i="5"/>
  <c r="AD38" i="1"/>
  <c r="AG91" i="1" s="1"/>
  <c r="AG92" i="1"/>
  <c r="AE90" i="1"/>
  <c r="AT15" i="1"/>
  <c r="AT25" i="1"/>
  <c r="AD109" i="1"/>
  <c r="AD108" i="1"/>
  <c r="AD39" i="1"/>
  <c r="AD106" i="1"/>
  <c r="AD107" i="1"/>
  <c r="AE59" i="7"/>
  <c r="AE58" i="7"/>
  <c r="AE59" i="6"/>
  <c r="AE58" i="6"/>
  <c r="AE59" i="5"/>
  <c r="AE58" i="5"/>
  <c r="AE59" i="2"/>
  <c r="AE58" i="2"/>
  <c r="AD90" i="1"/>
  <c r="AD89" i="1"/>
  <c r="AD88" i="1"/>
  <c r="AD87" i="1"/>
  <c r="AD84" i="1"/>
  <c r="AD83" i="1"/>
  <c r="AD82" i="1"/>
  <c r="AD79" i="1"/>
  <c r="AD78" i="1"/>
  <c r="AE109" i="1" l="1"/>
  <c r="AT31" i="1"/>
  <c r="AE107" i="1"/>
  <c r="AE106" i="1"/>
  <c r="AT88" i="1"/>
  <c r="AT87" i="1"/>
  <c r="AD59" i="7"/>
  <c r="AD58" i="7"/>
  <c r="AD47" i="7"/>
  <c r="AD50" i="7" s="1"/>
  <c r="AD40" i="7"/>
  <c r="AD29" i="7"/>
  <c r="AD28" i="7"/>
  <c r="AD8" i="7"/>
  <c r="AD12" i="7" s="1"/>
  <c r="AD59" i="6"/>
  <c r="AD58" i="6"/>
  <c r="AD47" i="6"/>
  <c r="AD50" i="6" s="1"/>
  <c r="AD40" i="6"/>
  <c r="AD29" i="6"/>
  <c r="AD28" i="6"/>
  <c r="AD8" i="6"/>
  <c r="AD12" i="6" s="1"/>
  <c r="AD59" i="5"/>
  <c r="AD58" i="5"/>
  <c r="AD47" i="5"/>
  <c r="AD50" i="5" s="1"/>
  <c r="AD40" i="5"/>
  <c r="AD29" i="5"/>
  <c r="AD28" i="5"/>
  <c r="AD8" i="5"/>
  <c r="AD59" i="2"/>
  <c r="AD58" i="2"/>
  <c r="AD47" i="2"/>
  <c r="AD50" i="2" s="1"/>
  <c r="AD40" i="2"/>
  <c r="AD29" i="2"/>
  <c r="AD28" i="2"/>
  <c r="AD12" i="2"/>
  <c r="AC12" i="2"/>
  <c r="AC28" i="2"/>
  <c r="AC29" i="2"/>
  <c r="AC40" i="2"/>
  <c r="AC47" i="2"/>
  <c r="AC50" i="2" s="1"/>
  <c r="AC58" i="2"/>
  <c r="AC59" i="2"/>
  <c r="AC105" i="1"/>
  <c r="AC83" i="1"/>
  <c r="AC82" i="1"/>
  <c r="AC79" i="1"/>
  <c r="AC78" i="1"/>
  <c r="AC65" i="1"/>
  <c r="AD70" i="1" s="1"/>
  <c r="AC58" i="1"/>
  <c r="AC46" i="1"/>
  <c r="AC45" i="1"/>
  <c r="AC21" i="1"/>
  <c r="AC11" i="1"/>
  <c r="AC15" i="1" s="1"/>
  <c r="AD12" i="5" l="1"/>
  <c r="AH31" i="7"/>
  <c r="AH32" i="7"/>
  <c r="AH34" i="7"/>
  <c r="AH31" i="6"/>
  <c r="AH32" i="6"/>
  <c r="AH34" i="6"/>
  <c r="AH31" i="5"/>
  <c r="AH32" i="5"/>
  <c r="AH34" i="5"/>
  <c r="AH32" i="2"/>
  <c r="AH31" i="2"/>
  <c r="AH34" i="2"/>
  <c r="AG48" i="1"/>
  <c r="AG49" i="1"/>
  <c r="AD49" i="6"/>
  <c r="AD49" i="5"/>
  <c r="AD49" i="2"/>
  <c r="AC49" i="2"/>
  <c r="AG31" i="2"/>
  <c r="AG32" i="2"/>
  <c r="AG34" i="2"/>
  <c r="AC67" i="1"/>
  <c r="AG86" i="1"/>
  <c r="AG85" i="1"/>
  <c r="AC51" i="1"/>
  <c r="AC18" i="2"/>
  <c r="AC24" i="2" s="1"/>
  <c r="AE108" i="1"/>
  <c r="AE89" i="1"/>
  <c r="AU28" i="2"/>
  <c r="AT35" i="1"/>
  <c r="AT90" i="1"/>
  <c r="AC33" i="2"/>
  <c r="AD18" i="7"/>
  <c r="AD24" i="7" s="1"/>
  <c r="AD33" i="7"/>
  <c r="AD49" i="7"/>
  <c r="AD33" i="6"/>
  <c r="AD18" i="6"/>
  <c r="AD24" i="6" s="1"/>
  <c r="AD18" i="5"/>
  <c r="AD33" i="5"/>
  <c r="AD18" i="2"/>
  <c r="AD24" i="2" s="1"/>
  <c r="AD33" i="2"/>
  <c r="AC50" i="1"/>
  <c r="AC88" i="1"/>
  <c r="AC84" i="1"/>
  <c r="AC68" i="1"/>
  <c r="AC25" i="1"/>
  <c r="AD24" i="5" l="1"/>
  <c r="AT39" i="1"/>
  <c r="AT38" i="1"/>
  <c r="AT107" i="1"/>
  <c r="AT106" i="1"/>
  <c r="AC87" i="1"/>
  <c r="AC52" i="1"/>
  <c r="AC31" i="1"/>
  <c r="AT109" i="1" l="1"/>
  <c r="AT108" i="1"/>
  <c r="AT89" i="1"/>
  <c r="AC90" i="1"/>
  <c r="AC35" i="1"/>
  <c r="AF92" i="1" s="1"/>
  <c r="AC107" i="1" l="1"/>
  <c r="AC106" i="1"/>
  <c r="AC39" i="1"/>
  <c r="AC38" i="1"/>
  <c r="AF91" i="1" s="1"/>
  <c r="AC109" i="1" l="1"/>
  <c r="AC89" i="1"/>
  <c r="AC108" i="1"/>
  <c r="AB105" i="1" l="1"/>
  <c r="AB84" i="1"/>
  <c r="AB83" i="1"/>
  <c r="AB82" i="1"/>
  <c r="AB79" i="1"/>
  <c r="AB78" i="1"/>
  <c r="AB65" i="1"/>
  <c r="AC70" i="1" s="1"/>
  <c r="AB21" i="1"/>
  <c r="AB58" i="1"/>
  <c r="AB46" i="1"/>
  <c r="AB45" i="1"/>
  <c r="AB15" i="1"/>
  <c r="AC59" i="5"/>
  <c r="AC58" i="5"/>
  <c r="AC59" i="6"/>
  <c r="AC58" i="6"/>
  <c r="AC59" i="7"/>
  <c r="AC58" i="7"/>
  <c r="AC47" i="5"/>
  <c r="AC50" i="5" s="1"/>
  <c r="AC47" i="6"/>
  <c r="AC50" i="6" s="1"/>
  <c r="AC47" i="7"/>
  <c r="AC50" i="7" s="1"/>
  <c r="AC40" i="5"/>
  <c r="AC40" i="6"/>
  <c r="AC40" i="7"/>
  <c r="AC29" i="5"/>
  <c r="AC28" i="5"/>
  <c r="AU28" i="5" s="1"/>
  <c r="AC29" i="6"/>
  <c r="AC28" i="6"/>
  <c r="AU28" i="6" s="1"/>
  <c r="AC29" i="7"/>
  <c r="AC28" i="7"/>
  <c r="AU28" i="7" s="1"/>
  <c r="AC12" i="5"/>
  <c r="AC12" i="6"/>
  <c r="AC12" i="7"/>
  <c r="AG31" i="7" l="1"/>
  <c r="AG32" i="7"/>
  <c r="AG34" i="7"/>
  <c r="AC49" i="6"/>
  <c r="AG31" i="6"/>
  <c r="AG32" i="6"/>
  <c r="AG34" i="6"/>
  <c r="AC49" i="5"/>
  <c r="AG31" i="5"/>
  <c r="AG32" i="5"/>
  <c r="AG34" i="5"/>
  <c r="AB67" i="1"/>
  <c r="AF48" i="1"/>
  <c r="AF49" i="1"/>
  <c r="AF86" i="1"/>
  <c r="AF85" i="1"/>
  <c r="AC33" i="7"/>
  <c r="AC18" i="6"/>
  <c r="AC24" i="6" s="1"/>
  <c r="AB51" i="1"/>
  <c r="AB25" i="1"/>
  <c r="AB31" i="1" s="1"/>
  <c r="AB35" i="1" s="1"/>
  <c r="AB38" i="1" s="1"/>
  <c r="AE91" i="1" s="1"/>
  <c r="AT91" i="1" s="1"/>
  <c r="AC33" i="5"/>
  <c r="AB50" i="1"/>
  <c r="AB88" i="1"/>
  <c r="AC18" i="7"/>
  <c r="AC24" i="7" s="1"/>
  <c r="AC18" i="5"/>
  <c r="AC49" i="7"/>
  <c r="AC33" i="6"/>
  <c r="AB87" i="1"/>
  <c r="AB90" i="1"/>
  <c r="AB106" i="1"/>
  <c r="AB68" i="1"/>
  <c r="AB39" i="1"/>
  <c r="AC24" i="5" l="1"/>
  <c r="AB52" i="1"/>
  <c r="AB107" i="1"/>
  <c r="AE92" i="1"/>
  <c r="AT92" i="1" s="1"/>
  <c r="AB89" i="1"/>
  <c r="AB109" i="1"/>
  <c r="AB108" i="1"/>
  <c r="AN17" i="1" l="1"/>
  <c r="AM17" i="1"/>
  <c r="AN20" i="1" l="1"/>
  <c r="AO20" i="1"/>
  <c r="AP20" i="1"/>
  <c r="AQ20" i="1"/>
  <c r="AR20" i="1"/>
  <c r="AS20" i="1"/>
  <c r="AA21" i="1"/>
  <c r="Z21" i="1"/>
  <c r="Y21" i="1"/>
  <c r="X21" i="1"/>
  <c r="W21" i="1"/>
  <c r="V21" i="1"/>
  <c r="U21" i="1"/>
  <c r="T21" i="1"/>
  <c r="S21" i="1"/>
  <c r="R21" i="1"/>
  <c r="Q21" i="1"/>
  <c r="P21" i="1"/>
  <c r="O21" i="1"/>
  <c r="N21" i="1"/>
  <c r="M21" i="1"/>
  <c r="L21" i="1"/>
  <c r="J21" i="1"/>
  <c r="I21" i="1"/>
  <c r="H21" i="1"/>
  <c r="AA83" i="1" l="1"/>
  <c r="AA82" i="1"/>
  <c r="AA79" i="1"/>
  <c r="AA78" i="1"/>
  <c r="AA65" i="1"/>
  <c r="AA58" i="1"/>
  <c r="AA46" i="1"/>
  <c r="AA45" i="1"/>
  <c r="AA51" i="1"/>
  <c r="AA11" i="1"/>
  <c r="AA15" i="1" s="1"/>
  <c r="AS104" i="1"/>
  <c r="AS105" i="1" s="1"/>
  <c r="AS97" i="1"/>
  <c r="AS96" i="1"/>
  <c r="AS95" i="1"/>
  <c r="AS77" i="1"/>
  <c r="AS75" i="1"/>
  <c r="AS74" i="1"/>
  <c r="AS73" i="1"/>
  <c r="AS64" i="1"/>
  <c r="AS63" i="1"/>
  <c r="AS62" i="1"/>
  <c r="AS61" i="1"/>
  <c r="AS57" i="1"/>
  <c r="AS56" i="1"/>
  <c r="AS55" i="1"/>
  <c r="AS47" i="1"/>
  <c r="AS44" i="1"/>
  <c r="AS33" i="1"/>
  <c r="AS24" i="1"/>
  <c r="AS23" i="1"/>
  <c r="AS19" i="1"/>
  <c r="AS18" i="1"/>
  <c r="AS17" i="1"/>
  <c r="AS14" i="1"/>
  <c r="AS13" i="1"/>
  <c r="AS12" i="1"/>
  <c r="AS10" i="1"/>
  <c r="AS9" i="1"/>
  <c r="AS83" i="1" s="1"/>
  <c r="AS8" i="1"/>
  <c r="AS82" i="1" s="1"/>
  <c r="AS41" i="1"/>
  <c r="AA105" i="1"/>
  <c r="AT45" i="1" l="1"/>
  <c r="AT46" i="1" s="1"/>
  <c r="AT51" i="1"/>
  <c r="AT50" i="1"/>
  <c r="AT52" i="1"/>
  <c r="AE49" i="1"/>
  <c r="AT49" i="1" s="1"/>
  <c r="AE48" i="1"/>
  <c r="AE85" i="1"/>
  <c r="AT85" i="1" s="1"/>
  <c r="AE86" i="1"/>
  <c r="AT86" i="1" s="1"/>
  <c r="AA68" i="1"/>
  <c r="AB70" i="1"/>
  <c r="AS11" i="1"/>
  <c r="AS15" i="1" s="1"/>
  <c r="AS58" i="1"/>
  <c r="AS65" i="1"/>
  <c r="AS21" i="1"/>
  <c r="AS25" i="1" s="1"/>
  <c r="AA50" i="1"/>
  <c r="AA88" i="1"/>
  <c r="AA25" i="1"/>
  <c r="AA84" i="1"/>
  <c r="AA67" i="1"/>
  <c r="AS78" i="1"/>
  <c r="AS79" i="1"/>
  <c r="AS84" i="1" l="1"/>
  <c r="AS67" i="1"/>
  <c r="AT48" i="1"/>
  <c r="AS68" i="1"/>
  <c r="AT70" i="1"/>
  <c r="AS88" i="1"/>
  <c r="AA87" i="1"/>
  <c r="AA52" i="1"/>
  <c r="AA31" i="1"/>
  <c r="AS31" i="1"/>
  <c r="AS87" i="1"/>
  <c r="AA90" i="1" l="1"/>
  <c r="AA35" i="1"/>
  <c r="AD92" i="1" s="1"/>
  <c r="AS35" i="1"/>
  <c r="AS39" i="1" s="1"/>
  <c r="AS90" i="1"/>
  <c r="AA107" i="1" l="1"/>
  <c r="AA106" i="1"/>
  <c r="AA39" i="1"/>
  <c r="AA38" i="1"/>
  <c r="AD91" i="1" s="1"/>
  <c r="AS38" i="1"/>
  <c r="AS107" i="1"/>
  <c r="AS106" i="1"/>
  <c r="AS89" i="1" l="1"/>
  <c r="AS108" i="1"/>
  <c r="AS109" i="1"/>
  <c r="AA108" i="1"/>
  <c r="AA109" i="1"/>
  <c r="AA89" i="1"/>
  <c r="AA59" i="7"/>
  <c r="AA58" i="7"/>
  <c r="AA47" i="7"/>
  <c r="AA50" i="7" s="1"/>
  <c r="AA40" i="7"/>
  <c r="AA29" i="7"/>
  <c r="AA28" i="7"/>
  <c r="AA8" i="7"/>
  <c r="AA12" i="7" s="1"/>
  <c r="AA59" i="6"/>
  <c r="AA58" i="6"/>
  <c r="AA47" i="6"/>
  <c r="AA50" i="6" s="1"/>
  <c r="AA40" i="6"/>
  <c r="AA29" i="6"/>
  <c r="AA28" i="6"/>
  <c r="AA8" i="6"/>
  <c r="AA12" i="6" s="1"/>
  <c r="AA59" i="5"/>
  <c r="AA58" i="5"/>
  <c r="AA47" i="5"/>
  <c r="AA50" i="5" s="1"/>
  <c r="AA40" i="5"/>
  <c r="AA29" i="5"/>
  <c r="AA28" i="5"/>
  <c r="AA8" i="5"/>
  <c r="AA59" i="2"/>
  <c r="AA58" i="2"/>
  <c r="AA47" i="2"/>
  <c r="AA40" i="2"/>
  <c r="AA29" i="2"/>
  <c r="AA28" i="2"/>
  <c r="AA8" i="2"/>
  <c r="Z105" i="1"/>
  <c r="Z83" i="1"/>
  <c r="Z82" i="1"/>
  <c r="Z79" i="1"/>
  <c r="Z78" i="1"/>
  <c r="Z65" i="1"/>
  <c r="Z58" i="1"/>
  <c r="Z46" i="1"/>
  <c r="Z45" i="1"/>
  <c r="Z51" i="1"/>
  <c r="Z11" i="1"/>
  <c r="Z84" i="1" s="1"/>
  <c r="AA12" i="5" l="1"/>
  <c r="AA49" i="7"/>
  <c r="AE31" i="7"/>
  <c r="AA49" i="6"/>
  <c r="AE31" i="6"/>
  <c r="AA49" i="5"/>
  <c r="AE31" i="5"/>
  <c r="AE31" i="2"/>
  <c r="AD49" i="1"/>
  <c r="AD48" i="1"/>
  <c r="AD86" i="1"/>
  <c r="AD85" i="1"/>
  <c r="AA50" i="2"/>
  <c r="AA49" i="2"/>
  <c r="AA12" i="2"/>
  <c r="AA33" i="2" s="1"/>
  <c r="Z68" i="1"/>
  <c r="AA70" i="1"/>
  <c r="Z15" i="1"/>
  <c r="AA18" i="7"/>
  <c r="AA24" i="7" s="1"/>
  <c r="AA33" i="7"/>
  <c r="AA33" i="6"/>
  <c r="AA18" i="6"/>
  <c r="AA24" i="6" s="1"/>
  <c r="AA18" i="5"/>
  <c r="AA33" i="5"/>
  <c r="Z67" i="1"/>
  <c r="AA24" i="5" l="1"/>
  <c r="AA18" i="2"/>
  <c r="Z50" i="1"/>
  <c r="AA24" i="2"/>
  <c r="Z88" i="1"/>
  <c r="Z25" i="1"/>
  <c r="Z31" i="1" s="1"/>
  <c r="Z87" i="1" l="1"/>
  <c r="Z52" i="1"/>
  <c r="Z35" i="1"/>
  <c r="AC92" i="1" s="1"/>
  <c r="Z90" i="1"/>
  <c r="Z38" i="1" l="1"/>
  <c r="AC91" i="1" s="1"/>
  <c r="Z107" i="1"/>
  <c r="Z106" i="1"/>
  <c r="Z39" i="1"/>
  <c r="Z109" i="1" l="1"/>
  <c r="Z108" i="1"/>
  <c r="Z89" i="1"/>
  <c r="AT57" i="2" l="1"/>
  <c r="AT55" i="2"/>
  <c r="AT54" i="2"/>
  <c r="AT53" i="2"/>
  <c r="AT46" i="2"/>
  <c r="AT45" i="2"/>
  <c r="AT44" i="2"/>
  <c r="AT43" i="2"/>
  <c r="AT39" i="2"/>
  <c r="AT38" i="2"/>
  <c r="AT37" i="2"/>
  <c r="AT30" i="2"/>
  <c r="AT27" i="2"/>
  <c r="AU29" i="2" s="1"/>
  <c r="AT17" i="2"/>
  <c r="AT16" i="2"/>
  <c r="AT14" i="2"/>
  <c r="AT11" i="2"/>
  <c r="AT10" i="2"/>
  <c r="AT9" i="2"/>
  <c r="AT7" i="2"/>
  <c r="AT6" i="2"/>
  <c r="AT5" i="2"/>
  <c r="AB59" i="2"/>
  <c r="AB58" i="2"/>
  <c r="AB47" i="2"/>
  <c r="AB50" i="2" s="1"/>
  <c r="AB40" i="2"/>
  <c r="AB29" i="2"/>
  <c r="AB28" i="2"/>
  <c r="AB8" i="2"/>
  <c r="AB59" i="5"/>
  <c r="AB58" i="5"/>
  <c r="AB47" i="5"/>
  <c r="AB50" i="5" s="1"/>
  <c r="AB40" i="5"/>
  <c r="AB29" i="5"/>
  <c r="AB28" i="5"/>
  <c r="AB8" i="5"/>
  <c r="AT57" i="5"/>
  <c r="AT55" i="5"/>
  <c r="AT54" i="5"/>
  <c r="AT53" i="5"/>
  <c r="AT45" i="5"/>
  <c r="AT44" i="5"/>
  <c r="AT43" i="5"/>
  <c r="AT39" i="5"/>
  <c r="AT38" i="5"/>
  <c r="AT37" i="5"/>
  <c r="AT30" i="5"/>
  <c r="AT27" i="5"/>
  <c r="AU58" i="5" s="1"/>
  <c r="AT17" i="5"/>
  <c r="AT16" i="5"/>
  <c r="AT14" i="5"/>
  <c r="AT11" i="5"/>
  <c r="AT10" i="5"/>
  <c r="AT9" i="5"/>
  <c r="AT7" i="5"/>
  <c r="AT6" i="5"/>
  <c r="AT5" i="5"/>
  <c r="AB59" i="6"/>
  <c r="AB58" i="6"/>
  <c r="AB47" i="6"/>
  <c r="AB50" i="6" s="1"/>
  <c r="AB40" i="6"/>
  <c r="AB29" i="6"/>
  <c r="AB28" i="6"/>
  <c r="AB8" i="6"/>
  <c r="AB12" i="6" s="1"/>
  <c r="AE34" i="6" s="1"/>
  <c r="AT57" i="6"/>
  <c r="AT55" i="6"/>
  <c r="AT54" i="6"/>
  <c r="AT53" i="6"/>
  <c r="AT44" i="6"/>
  <c r="AT43" i="6"/>
  <c r="AT47" i="6" s="1"/>
  <c r="AT39" i="6"/>
  <c r="AT38" i="6"/>
  <c r="AT37" i="6"/>
  <c r="AT30" i="6"/>
  <c r="AT27" i="6"/>
  <c r="AT17" i="6"/>
  <c r="AT16" i="6"/>
  <c r="AT14" i="6"/>
  <c r="AT11" i="6"/>
  <c r="AT10" i="6"/>
  <c r="AT9" i="6"/>
  <c r="AT7" i="6"/>
  <c r="AT6" i="6"/>
  <c r="AT5" i="6"/>
  <c r="AT57" i="7"/>
  <c r="AT55" i="7"/>
  <c r="AT54" i="7"/>
  <c r="AT53" i="7"/>
  <c r="AT44" i="7"/>
  <c r="AT43" i="7"/>
  <c r="AT47" i="7" s="1"/>
  <c r="AT39" i="7"/>
  <c r="AT38" i="7"/>
  <c r="AT37" i="7"/>
  <c r="AT30" i="7"/>
  <c r="AT27" i="7"/>
  <c r="AT17" i="7"/>
  <c r="AT16" i="7"/>
  <c r="AT14" i="7"/>
  <c r="AT11" i="7"/>
  <c r="AT10" i="7"/>
  <c r="AT9" i="7"/>
  <c r="AT7" i="7"/>
  <c r="AT6" i="7"/>
  <c r="AT5" i="7"/>
  <c r="AB59" i="7"/>
  <c r="AB58" i="7"/>
  <c r="AB47" i="7"/>
  <c r="AB50" i="7" s="1"/>
  <c r="AB40" i="7"/>
  <c r="AB29" i="7"/>
  <c r="AB28" i="7"/>
  <c r="AB8" i="7"/>
  <c r="AB12" i="7" s="1"/>
  <c r="AE34" i="7" s="1"/>
  <c r="AB12" i="5" l="1"/>
  <c r="AF31" i="7"/>
  <c r="AF32" i="7"/>
  <c r="AU32" i="7" s="1"/>
  <c r="AF34" i="7"/>
  <c r="AU34" i="7" s="1"/>
  <c r="AU29" i="7"/>
  <c r="AU58" i="7"/>
  <c r="AU33" i="7"/>
  <c r="AT59" i="7"/>
  <c r="AF31" i="6"/>
  <c r="AF32" i="6"/>
  <c r="AU32" i="6" s="1"/>
  <c r="AF34" i="6"/>
  <c r="AU34" i="6" s="1"/>
  <c r="AU29" i="6"/>
  <c r="AU58" i="6"/>
  <c r="AU33" i="6"/>
  <c r="AB49" i="7"/>
  <c r="AE32" i="7"/>
  <c r="AB49" i="6"/>
  <c r="AE32" i="6"/>
  <c r="AT59" i="6"/>
  <c r="AU29" i="5"/>
  <c r="AU33" i="5"/>
  <c r="AF31" i="5"/>
  <c r="AF32" i="5"/>
  <c r="AU32" i="5" s="1"/>
  <c r="AF34" i="5"/>
  <c r="AU34" i="5" s="1"/>
  <c r="AF31" i="2"/>
  <c r="AF32" i="2"/>
  <c r="AU32" i="2" s="1"/>
  <c r="AF34" i="2"/>
  <c r="AU34" i="2" s="1"/>
  <c r="AU58" i="2"/>
  <c r="AU33" i="2"/>
  <c r="AB49" i="5"/>
  <c r="AE32" i="5"/>
  <c r="AB49" i="2"/>
  <c r="AE32" i="2"/>
  <c r="AB18" i="6"/>
  <c r="AB24" i="6" s="1"/>
  <c r="AB18" i="7"/>
  <c r="AB24" i="7" s="1"/>
  <c r="AB33" i="5"/>
  <c r="AT50" i="7"/>
  <c r="AB12" i="2"/>
  <c r="AE34" i="2" s="1"/>
  <c r="AT59" i="2"/>
  <c r="AB33" i="6"/>
  <c r="AT40" i="7"/>
  <c r="AT59" i="5"/>
  <c r="AB18" i="5"/>
  <c r="AT47" i="2"/>
  <c r="AT40" i="2"/>
  <c r="AU31" i="2" s="1"/>
  <c r="AT8" i="2"/>
  <c r="AT47" i="5"/>
  <c r="AT50" i="5" s="1"/>
  <c r="AT40" i="5"/>
  <c r="AT8" i="5"/>
  <c r="AT50" i="6"/>
  <c r="AT40" i="6"/>
  <c r="AT8" i="6"/>
  <c r="AT12" i="6" s="1"/>
  <c r="AB33" i="7"/>
  <c r="AT8" i="7"/>
  <c r="AT12" i="7" s="1"/>
  <c r="AT12" i="5" l="1"/>
  <c r="AB24" i="5"/>
  <c r="AE34" i="5"/>
  <c r="AT49" i="7"/>
  <c r="AU31" i="7"/>
  <c r="AT49" i="6"/>
  <c r="AU31" i="6"/>
  <c r="AT49" i="5"/>
  <c r="AU31" i="5"/>
  <c r="AB33" i="2"/>
  <c r="AB18" i="2"/>
  <c r="AT12" i="2"/>
  <c r="AT18" i="2" s="1"/>
  <c r="AT49" i="2"/>
  <c r="AT50" i="2"/>
  <c r="AT18" i="5"/>
  <c r="AT18" i="6"/>
  <c r="AT24" i="6" s="1"/>
  <c r="AT18" i="7"/>
  <c r="AT24" i="7" s="1"/>
  <c r="Z29" i="7"/>
  <c r="Y29" i="7"/>
  <c r="Z29" i="6"/>
  <c r="Y29" i="6"/>
  <c r="Z29" i="5"/>
  <c r="Y29" i="5"/>
  <c r="Z29" i="2"/>
  <c r="Y29" i="2"/>
  <c r="Y46" i="1"/>
  <c r="X46" i="1"/>
  <c r="AT24" i="5" l="1"/>
  <c r="AB24" i="2"/>
  <c r="AT24" i="2"/>
  <c r="Z47" i="7"/>
  <c r="Z40" i="7"/>
  <c r="Z28" i="7"/>
  <c r="Z8" i="7"/>
  <c r="Z47" i="6"/>
  <c r="Z50" i="6" s="1"/>
  <c r="Z40" i="6"/>
  <c r="Z28" i="6"/>
  <c r="Z8" i="6"/>
  <c r="Z12" i="6" s="1"/>
  <c r="Z47" i="5"/>
  <c r="Z50" i="5" s="1"/>
  <c r="Z40" i="5"/>
  <c r="Z28" i="5"/>
  <c r="Z8" i="5"/>
  <c r="Z59" i="2"/>
  <c r="Z58" i="2"/>
  <c r="Z47" i="2"/>
  <c r="Z40" i="2"/>
  <c r="Z28" i="2"/>
  <c r="Z8" i="2"/>
  <c r="Y105" i="1"/>
  <c r="Y83" i="1"/>
  <c r="Y82" i="1"/>
  <c r="Y79" i="1"/>
  <c r="Y78" i="1"/>
  <c r="Y65" i="1"/>
  <c r="Z70" i="1" s="1"/>
  <c r="Y58" i="1"/>
  <c r="Y45" i="1"/>
  <c r="Y11" i="1"/>
  <c r="Y15" i="1" s="1"/>
  <c r="Z59" i="7"/>
  <c r="Z58" i="7"/>
  <c r="Z59" i="6"/>
  <c r="Z58" i="6"/>
  <c r="Z59" i="5"/>
  <c r="Z58" i="5"/>
  <c r="X45" i="1"/>
  <c r="Z12" i="5" l="1"/>
  <c r="AD32" i="2"/>
  <c r="AD31" i="2"/>
  <c r="AD34" i="2"/>
  <c r="AC48" i="1"/>
  <c r="AC49" i="1"/>
  <c r="AC86" i="1"/>
  <c r="AC85" i="1"/>
  <c r="Z49" i="6"/>
  <c r="AD31" i="6"/>
  <c r="AD32" i="6"/>
  <c r="AD34" i="6"/>
  <c r="AD32" i="5"/>
  <c r="AD31" i="5"/>
  <c r="AD34" i="5"/>
  <c r="AD31" i="7"/>
  <c r="AD32" i="7"/>
  <c r="AD34" i="7"/>
  <c r="Z12" i="2"/>
  <c r="Z49" i="2"/>
  <c r="Z50" i="2"/>
  <c r="Y51" i="1"/>
  <c r="Z12" i="7"/>
  <c r="Z18" i="7" s="1"/>
  <c r="Z50" i="7"/>
  <c r="Y84" i="1"/>
  <c r="Z49" i="7"/>
  <c r="Z18" i="6"/>
  <c r="Z24" i="6" s="1"/>
  <c r="Z33" i="6"/>
  <c r="Z18" i="5"/>
  <c r="Z33" i="5"/>
  <c r="Z49" i="5"/>
  <c r="Y25" i="1"/>
  <c r="Y50" i="1"/>
  <c r="Y67" i="1"/>
  <c r="Y68" i="1"/>
  <c r="Y88" i="1"/>
  <c r="Y59" i="7"/>
  <c r="Y58" i="7"/>
  <c r="Y47" i="7"/>
  <c r="Y40" i="7"/>
  <c r="Y28" i="7"/>
  <c r="AT28" i="7" s="1"/>
  <c r="Y8" i="7"/>
  <c r="Y59" i="6"/>
  <c r="Y58" i="6"/>
  <c r="Y47" i="6"/>
  <c r="Y50" i="6" s="1"/>
  <c r="Y40" i="6"/>
  <c r="Y28" i="6"/>
  <c r="AT28" i="6" s="1"/>
  <c r="Y8" i="6"/>
  <c r="Y12" i="6" s="1"/>
  <c r="Y8" i="5"/>
  <c r="Y28" i="5"/>
  <c r="AT28" i="5" s="1"/>
  <c r="Y40" i="5"/>
  <c r="Y47" i="5"/>
  <c r="Y50" i="5" s="1"/>
  <c r="Y59" i="5"/>
  <c r="Y58" i="5"/>
  <c r="Y59" i="2"/>
  <c r="Y58" i="2"/>
  <c r="Y47" i="2"/>
  <c r="Y40" i="2"/>
  <c r="Y28" i="2"/>
  <c r="Y8" i="2"/>
  <c r="Y12" i="5" l="1"/>
  <c r="Z24" i="5"/>
  <c r="AC34" i="2"/>
  <c r="AC31" i="2"/>
  <c r="AC32" i="2"/>
  <c r="AC32" i="7"/>
  <c r="AC31" i="7"/>
  <c r="Z33" i="7"/>
  <c r="AC34" i="7"/>
  <c r="Y49" i="6"/>
  <c r="AC32" i="6"/>
  <c r="AC31" i="6"/>
  <c r="AC34" i="6"/>
  <c r="AC31" i="5"/>
  <c r="AC32" i="5"/>
  <c r="Y49" i="5"/>
  <c r="AC34" i="5"/>
  <c r="Z18" i="2"/>
  <c r="Z24" i="2" s="1"/>
  <c r="Z33" i="2"/>
  <c r="Y49" i="2"/>
  <c r="Y12" i="2"/>
  <c r="Y18" i="2" s="1"/>
  <c r="Y50" i="2"/>
  <c r="AT28" i="2"/>
  <c r="Y49" i="7"/>
  <c r="Y50" i="7"/>
  <c r="Z24" i="7"/>
  <c r="Y12" i="7"/>
  <c r="Y18" i="7" s="1"/>
  <c r="Y31" i="1"/>
  <c r="Y87" i="1"/>
  <c r="Y52" i="1"/>
  <c r="Y18" i="6"/>
  <c r="Y24" i="6" s="1"/>
  <c r="Y33" i="6"/>
  <c r="Y33" i="5"/>
  <c r="Y18" i="5"/>
  <c r="Y24" i="5" l="1"/>
  <c r="Y33" i="2"/>
  <c r="Y24" i="2"/>
  <c r="Y33" i="7"/>
  <c r="Y24" i="7"/>
  <c r="Y90" i="1"/>
  <c r="Y35" i="1"/>
  <c r="AB92" i="1" s="1"/>
  <c r="X105" i="1"/>
  <c r="X83" i="1"/>
  <c r="X82" i="1"/>
  <c r="X79" i="1"/>
  <c r="X78" i="1"/>
  <c r="X65" i="1"/>
  <c r="X58" i="1"/>
  <c r="X48" i="1"/>
  <c r="X11" i="1"/>
  <c r="AO27" i="1"/>
  <c r="AB48" i="1" l="1"/>
  <c r="AB49" i="1"/>
  <c r="AB86" i="1"/>
  <c r="AB85" i="1"/>
  <c r="Y70" i="1"/>
  <c r="X67" i="1"/>
  <c r="X51" i="1"/>
  <c r="X84" i="1"/>
  <c r="Y39" i="1"/>
  <c r="Y107" i="1"/>
  <c r="Y106" i="1"/>
  <c r="Y38" i="1"/>
  <c r="AB91" i="1" s="1"/>
  <c r="X68" i="1"/>
  <c r="X15" i="1"/>
  <c r="W59" i="7"/>
  <c r="V59" i="7"/>
  <c r="U59" i="7"/>
  <c r="T59" i="7"/>
  <c r="S59" i="7"/>
  <c r="R59" i="7"/>
  <c r="Q59" i="7"/>
  <c r="W58" i="7"/>
  <c r="V58" i="7"/>
  <c r="U58" i="7"/>
  <c r="T58" i="7"/>
  <c r="S58" i="7"/>
  <c r="R58" i="7"/>
  <c r="Q58" i="7"/>
  <c r="W47" i="7"/>
  <c r="V47" i="7"/>
  <c r="U47" i="7"/>
  <c r="T47" i="7"/>
  <c r="S47" i="7"/>
  <c r="R47" i="7"/>
  <c r="Q47" i="7"/>
  <c r="U44" i="7"/>
  <c r="T44" i="7"/>
  <c r="S44" i="7"/>
  <c r="R44" i="7"/>
  <c r="Q44" i="7"/>
  <c r="W40" i="7"/>
  <c r="V40" i="7"/>
  <c r="U40" i="7"/>
  <c r="T40" i="7"/>
  <c r="S40" i="7"/>
  <c r="R40" i="7"/>
  <c r="Q40" i="7"/>
  <c r="T29" i="7"/>
  <c r="S29" i="7"/>
  <c r="R29" i="7"/>
  <c r="Q29" i="7"/>
  <c r="W28" i="7"/>
  <c r="V28" i="7"/>
  <c r="U28" i="7"/>
  <c r="T28" i="7"/>
  <c r="S28" i="7"/>
  <c r="R28" i="7"/>
  <c r="Q28" i="7"/>
  <c r="U14" i="7"/>
  <c r="W8" i="7"/>
  <c r="V8" i="7"/>
  <c r="U8" i="7"/>
  <c r="T8" i="7"/>
  <c r="S8" i="7"/>
  <c r="R8" i="7"/>
  <c r="Q8" i="7"/>
  <c r="W59" i="6"/>
  <c r="V59" i="6"/>
  <c r="U59" i="6"/>
  <c r="T59" i="6"/>
  <c r="S59" i="6"/>
  <c r="R59" i="6"/>
  <c r="Q59" i="6"/>
  <c r="W58" i="6"/>
  <c r="V58" i="6"/>
  <c r="U58" i="6"/>
  <c r="T58" i="6"/>
  <c r="S58" i="6"/>
  <c r="R58" i="6"/>
  <c r="Q58" i="6"/>
  <c r="W47" i="6"/>
  <c r="W50" i="6" s="1"/>
  <c r="V47" i="6"/>
  <c r="V50" i="6" s="1"/>
  <c r="U47" i="6"/>
  <c r="U50" i="6" s="1"/>
  <c r="T47" i="6"/>
  <c r="T50" i="6" s="1"/>
  <c r="S47" i="6"/>
  <c r="S50" i="6" s="1"/>
  <c r="R47" i="6"/>
  <c r="R50" i="6" s="1"/>
  <c r="Q47" i="6"/>
  <c r="Q50" i="6" s="1"/>
  <c r="U44" i="6"/>
  <c r="T44" i="6"/>
  <c r="S44" i="6"/>
  <c r="R44" i="6"/>
  <c r="Q44" i="6"/>
  <c r="W40" i="6"/>
  <c r="V40" i="6"/>
  <c r="U40" i="6"/>
  <c r="U49" i="6" s="1"/>
  <c r="T40" i="6"/>
  <c r="T49" i="6" s="1"/>
  <c r="S40" i="6"/>
  <c r="S49" i="6" s="1"/>
  <c r="R40" i="6"/>
  <c r="R49" i="6" s="1"/>
  <c r="Q40" i="6"/>
  <c r="U31" i="6" s="1"/>
  <c r="T29" i="6"/>
  <c r="S29" i="6"/>
  <c r="R29" i="6"/>
  <c r="Q29" i="6"/>
  <c r="W28" i="6"/>
  <c r="V28" i="6"/>
  <c r="U28" i="6"/>
  <c r="T28" i="6"/>
  <c r="S28" i="6"/>
  <c r="R28" i="6"/>
  <c r="Q28" i="6"/>
  <c r="U14" i="6"/>
  <c r="W8" i="6"/>
  <c r="W12" i="6" s="1"/>
  <c r="V8" i="6"/>
  <c r="V12" i="6" s="1"/>
  <c r="U8" i="6"/>
  <c r="U12" i="6" s="1"/>
  <c r="T8" i="6"/>
  <c r="T12" i="6" s="1"/>
  <c r="T33" i="6" s="1"/>
  <c r="S8" i="6"/>
  <c r="S12" i="6" s="1"/>
  <c r="R8" i="6"/>
  <c r="R12" i="6" s="1"/>
  <c r="R18" i="6" s="1"/>
  <c r="R24" i="6" s="1"/>
  <c r="Q8" i="6"/>
  <c r="Q12" i="6" s="1"/>
  <c r="W59" i="5"/>
  <c r="V59" i="5"/>
  <c r="U59" i="5"/>
  <c r="T59" i="5"/>
  <c r="S59" i="5"/>
  <c r="R59" i="5"/>
  <c r="Q59" i="5"/>
  <c r="W58" i="5"/>
  <c r="V58" i="5"/>
  <c r="U58" i="5"/>
  <c r="T58" i="5"/>
  <c r="S58" i="5"/>
  <c r="R58" i="5"/>
  <c r="Q58" i="5"/>
  <c r="W47" i="5"/>
  <c r="W50" i="5" s="1"/>
  <c r="V47" i="5"/>
  <c r="V50" i="5" s="1"/>
  <c r="U47" i="5"/>
  <c r="U50" i="5" s="1"/>
  <c r="T47" i="5"/>
  <c r="T50" i="5" s="1"/>
  <c r="S47" i="5"/>
  <c r="S50" i="5" s="1"/>
  <c r="R47" i="5"/>
  <c r="R50" i="5" s="1"/>
  <c r="Q47" i="5"/>
  <c r="Q50" i="5" s="1"/>
  <c r="W40" i="5"/>
  <c r="V40" i="5"/>
  <c r="U40" i="5"/>
  <c r="T40" i="5"/>
  <c r="T49" i="5" s="1"/>
  <c r="S40" i="5"/>
  <c r="R40" i="5"/>
  <c r="R49" i="5" s="1"/>
  <c r="Q40" i="5"/>
  <c r="Q49" i="5" s="1"/>
  <c r="T29" i="5"/>
  <c r="S29" i="5"/>
  <c r="R29" i="5"/>
  <c r="Q29" i="5"/>
  <c r="W28" i="5"/>
  <c r="V28" i="5"/>
  <c r="U28" i="5"/>
  <c r="T28" i="5"/>
  <c r="S28" i="5"/>
  <c r="R28" i="5"/>
  <c r="Q28" i="5"/>
  <c r="U14" i="5"/>
  <c r="W8" i="5"/>
  <c r="W12" i="5" s="1"/>
  <c r="V8" i="5"/>
  <c r="V12" i="5" s="1"/>
  <c r="U8" i="5"/>
  <c r="U12" i="5" s="1"/>
  <c r="U33" i="5" s="1"/>
  <c r="T8" i="5"/>
  <c r="T12" i="5" s="1"/>
  <c r="S8" i="5"/>
  <c r="S12" i="5" s="1"/>
  <c r="S33" i="5" s="1"/>
  <c r="R8" i="5"/>
  <c r="R12" i="5" s="1"/>
  <c r="Q8" i="5"/>
  <c r="Q12" i="5" s="1"/>
  <c r="W59" i="2"/>
  <c r="V59" i="2"/>
  <c r="U59" i="2"/>
  <c r="T59" i="2"/>
  <c r="S59" i="2"/>
  <c r="R59" i="2"/>
  <c r="Q59" i="2"/>
  <c r="W58" i="2"/>
  <c r="V58" i="2"/>
  <c r="U58" i="2"/>
  <c r="T58" i="2"/>
  <c r="S58" i="2"/>
  <c r="R58" i="2"/>
  <c r="Q58" i="2"/>
  <c r="W47" i="2"/>
  <c r="W50" i="2" s="1"/>
  <c r="V47" i="2"/>
  <c r="V50" i="2" s="1"/>
  <c r="U47" i="2"/>
  <c r="U50" i="2" s="1"/>
  <c r="T47" i="2"/>
  <c r="T50" i="2" s="1"/>
  <c r="S47" i="2"/>
  <c r="S50" i="2" s="1"/>
  <c r="R47" i="2"/>
  <c r="R50" i="2" s="1"/>
  <c r="Q47" i="2"/>
  <c r="Q50" i="2" s="1"/>
  <c r="W40" i="2"/>
  <c r="V40" i="2"/>
  <c r="U40" i="2"/>
  <c r="T40" i="2"/>
  <c r="T49" i="2" s="1"/>
  <c r="S40" i="2"/>
  <c r="W31" i="2" s="1"/>
  <c r="R40" i="2"/>
  <c r="R49" i="2" s="1"/>
  <c r="Q40" i="2"/>
  <c r="T29" i="2"/>
  <c r="S29" i="2"/>
  <c r="R29" i="2"/>
  <c r="Q29" i="2"/>
  <c r="W28" i="2"/>
  <c r="V28" i="2"/>
  <c r="U28" i="2"/>
  <c r="T28" i="2"/>
  <c r="S28" i="2"/>
  <c r="R28" i="2"/>
  <c r="Q28" i="2"/>
  <c r="U14" i="2"/>
  <c r="W8" i="2"/>
  <c r="W12" i="2" s="1"/>
  <c r="V8" i="2"/>
  <c r="V12" i="2" s="1"/>
  <c r="U8" i="2"/>
  <c r="U12" i="2" s="1"/>
  <c r="U33" i="2" s="1"/>
  <c r="T8" i="2"/>
  <c r="T12" i="2" s="1"/>
  <c r="S8" i="2"/>
  <c r="S12" i="2" s="1"/>
  <c r="S33" i="2" s="1"/>
  <c r="R8" i="2"/>
  <c r="R12" i="2" s="1"/>
  <c r="Q8" i="2"/>
  <c r="Q12" i="2" s="1"/>
  <c r="Q33" i="2" s="1"/>
  <c r="W31" i="6" l="1"/>
  <c r="AA31" i="2"/>
  <c r="AA31" i="7"/>
  <c r="AA31" i="6"/>
  <c r="AA31" i="5"/>
  <c r="Y89" i="1"/>
  <c r="Y109" i="1"/>
  <c r="Y108" i="1"/>
  <c r="V31" i="2"/>
  <c r="U31" i="5"/>
  <c r="X50" i="1"/>
  <c r="X25" i="1"/>
  <c r="W49" i="2"/>
  <c r="W49" i="5"/>
  <c r="W49" i="6"/>
  <c r="U18" i="6"/>
  <c r="U24" i="6" s="1"/>
  <c r="Q50" i="7"/>
  <c r="S50" i="7"/>
  <c r="Q12" i="7"/>
  <c r="Q33" i="7" s="1"/>
  <c r="S12" i="7"/>
  <c r="S33" i="7" s="1"/>
  <c r="T12" i="7"/>
  <c r="T18" i="7" s="1"/>
  <c r="V50" i="7"/>
  <c r="R50" i="7"/>
  <c r="U12" i="7"/>
  <c r="U49" i="7"/>
  <c r="R12" i="7"/>
  <c r="R33" i="7" s="1"/>
  <c r="U50" i="7"/>
  <c r="W50" i="7"/>
  <c r="W12" i="7"/>
  <c r="W18" i="7" s="1"/>
  <c r="T50" i="7"/>
  <c r="V12" i="7"/>
  <c r="U32" i="7"/>
  <c r="R49" i="7"/>
  <c r="W31" i="7"/>
  <c r="W49" i="7"/>
  <c r="T49" i="7"/>
  <c r="Z31" i="5"/>
  <c r="U32" i="2"/>
  <c r="Z31" i="6"/>
  <c r="S49" i="7"/>
  <c r="V31" i="7"/>
  <c r="Z31" i="7"/>
  <c r="Z31" i="2"/>
  <c r="V49" i="7"/>
  <c r="V49" i="6"/>
  <c r="Y31" i="5"/>
  <c r="V49" i="5"/>
  <c r="V31" i="5"/>
  <c r="V49" i="2"/>
  <c r="X88" i="1"/>
  <c r="V32" i="7"/>
  <c r="W32" i="7"/>
  <c r="Y31" i="7"/>
  <c r="U31" i="7"/>
  <c r="V18" i="6"/>
  <c r="V24" i="6" s="1"/>
  <c r="V33" i="6"/>
  <c r="U32" i="6"/>
  <c r="Y31" i="6"/>
  <c r="V32" i="6"/>
  <c r="W32" i="6"/>
  <c r="V31" i="6"/>
  <c r="V33" i="5"/>
  <c r="W32" i="5"/>
  <c r="W31" i="5"/>
  <c r="U49" i="5"/>
  <c r="Y31" i="2"/>
  <c r="U49" i="2"/>
  <c r="W32" i="2"/>
  <c r="U31" i="2"/>
  <c r="Q49" i="7"/>
  <c r="V34" i="6"/>
  <c r="S33" i="6"/>
  <c r="S18" i="6"/>
  <c r="S24" i="6" s="1"/>
  <c r="W18" i="6"/>
  <c r="W24" i="6" s="1"/>
  <c r="W33" i="6"/>
  <c r="U33" i="6"/>
  <c r="W34" i="6"/>
  <c r="Q33" i="6"/>
  <c r="Q18" i="6"/>
  <c r="Q24" i="6" s="1"/>
  <c r="T18" i="6"/>
  <c r="T24" i="6" s="1"/>
  <c r="R33" i="6"/>
  <c r="Q49" i="6"/>
  <c r="U34" i="6"/>
  <c r="W34" i="5"/>
  <c r="T33" i="5"/>
  <c r="T18" i="5"/>
  <c r="T24" i="5" s="1"/>
  <c r="W33" i="5"/>
  <c r="W18" i="5"/>
  <c r="W24" i="5" s="1"/>
  <c r="V34" i="5"/>
  <c r="Q18" i="5"/>
  <c r="Q24" i="5" s="1"/>
  <c r="Q33" i="5"/>
  <c r="R18" i="5"/>
  <c r="R24" i="5" s="1"/>
  <c r="U34" i="5"/>
  <c r="R33" i="5"/>
  <c r="S18" i="5"/>
  <c r="S24" i="5" s="1"/>
  <c r="U18" i="5"/>
  <c r="U24" i="5" s="1"/>
  <c r="V18" i="5"/>
  <c r="V24" i="5" s="1"/>
  <c r="U32" i="5"/>
  <c r="V32" i="5"/>
  <c r="S49" i="5"/>
  <c r="R18" i="2"/>
  <c r="R24" i="2" s="1"/>
  <c r="U34" i="2"/>
  <c r="R33" i="2"/>
  <c r="V33" i="2"/>
  <c r="V18" i="2"/>
  <c r="V24" i="2" s="1"/>
  <c r="W33" i="2"/>
  <c r="W18" i="2"/>
  <c r="W24" i="2" s="1"/>
  <c r="W34" i="2"/>
  <c r="T33" i="2"/>
  <c r="T18" i="2"/>
  <c r="T24" i="2" s="1"/>
  <c r="S18" i="2"/>
  <c r="S24" i="2" s="1"/>
  <c r="U18" i="2"/>
  <c r="U24" i="2" s="1"/>
  <c r="V34" i="2"/>
  <c r="Q49" i="2"/>
  <c r="Q18" i="2"/>
  <c r="Q24" i="2" s="1"/>
  <c r="V32" i="2"/>
  <c r="S49" i="2"/>
  <c r="Q18" i="7" l="1"/>
  <c r="S18" i="7"/>
  <c r="S24" i="7" s="1"/>
  <c r="V34" i="7"/>
  <c r="X52" i="1"/>
  <c r="X87" i="1"/>
  <c r="X31" i="1"/>
  <c r="U18" i="7"/>
  <c r="U24" i="7" s="1"/>
  <c r="R18" i="7"/>
  <c r="R24" i="7" s="1"/>
  <c r="U34" i="7"/>
  <c r="T33" i="7"/>
  <c r="W24" i="7"/>
  <c r="V33" i="7"/>
  <c r="Q24" i="7"/>
  <c r="V18" i="7"/>
  <c r="T24" i="7"/>
  <c r="U33" i="7"/>
  <c r="W33" i="7"/>
  <c r="W34" i="7"/>
  <c r="V105" i="1"/>
  <c r="U105" i="1"/>
  <c r="T105" i="1"/>
  <c r="V83" i="1"/>
  <c r="U83" i="1"/>
  <c r="T83" i="1"/>
  <c r="V82" i="1"/>
  <c r="U82" i="1"/>
  <c r="T82" i="1"/>
  <c r="V79" i="1"/>
  <c r="U79" i="1"/>
  <c r="T79" i="1"/>
  <c r="V78" i="1"/>
  <c r="U78" i="1"/>
  <c r="T78" i="1"/>
  <c r="T68" i="1"/>
  <c r="T67" i="1"/>
  <c r="V65" i="1"/>
  <c r="U65" i="1"/>
  <c r="V58" i="1"/>
  <c r="U58" i="1"/>
  <c r="V45" i="1"/>
  <c r="U45" i="1"/>
  <c r="T45" i="1"/>
  <c r="V11" i="1"/>
  <c r="U11" i="1"/>
  <c r="T11" i="1"/>
  <c r="X90" i="1" l="1"/>
  <c r="X35" i="1"/>
  <c r="Z48" i="1"/>
  <c r="T84" i="1"/>
  <c r="V67" i="1"/>
  <c r="T51" i="1"/>
  <c r="U68" i="1"/>
  <c r="V68" i="1"/>
  <c r="V15" i="1"/>
  <c r="U84" i="1"/>
  <c r="V24" i="7"/>
  <c r="Y48" i="1"/>
  <c r="U67" i="1"/>
  <c r="U51" i="1"/>
  <c r="U70" i="1"/>
  <c r="V84" i="1"/>
  <c r="V51" i="1"/>
  <c r="V70" i="1"/>
  <c r="T15" i="1"/>
  <c r="U15" i="1"/>
  <c r="X39" i="1" l="1"/>
  <c r="AA92" i="1"/>
  <c r="AS92" i="1" s="1"/>
  <c r="X106" i="1"/>
  <c r="X107" i="1"/>
  <c r="X38" i="1"/>
  <c r="AA91" i="1" s="1"/>
  <c r="AS91" i="1" s="1"/>
  <c r="V50" i="1"/>
  <c r="V25" i="1"/>
  <c r="V31" i="1" s="1"/>
  <c r="V88" i="1"/>
  <c r="T88" i="1"/>
  <c r="T50" i="1"/>
  <c r="T25" i="1"/>
  <c r="U25" i="1"/>
  <c r="U50" i="1"/>
  <c r="U88" i="1"/>
  <c r="X108" i="1" l="1"/>
  <c r="X109" i="1"/>
  <c r="X89" i="1"/>
  <c r="V52" i="1"/>
  <c r="V87" i="1"/>
  <c r="U31" i="1"/>
  <c r="U52" i="1"/>
  <c r="U87" i="1"/>
  <c r="T87" i="1"/>
  <c r="T31" i="1"/>
  <c r="T52" i="1"/>
  <c r="V90" i="1"/>
  <c r="V35" i="1"/>
  <c r="V39" i="1" l="1"/>
  <c r="V106" i="1"/>
  <c r="V38" i="1"/>
  <c r="V107" i="1"/>
  <c r="T35" i="1"/>
  <c r="T90" i="1"/>
  <c r="U35" i="1"/>
  <c r="U90" i="1"/>
  <c r="V108" i="1" l="1"/>
  <c r="V109" i="1"/>
  <c r="V89" i="1"/>
  <c r="T107" i="1"/>
  <c r="T39" i="1"/>
  <c r="T38" i="1"/>
  <c r="T106" i="1"/>
  <c r="U39" i="1"/>
  <c r="U106" i="1"/>
  <c r="U38" i="1"/>
  <c r="U107" i="1"/>
  <c r="T109" i="1" l="1"/>
  <c r="T108" i="1"/>
  <c r="U108" i="1"/>
  <c r="U109" i="1"/>
  <c r="U89" i="1"/>
  <c r="T89" i="1"/>
  <c r="AS57" i="7" l="1"/>
  <c r="AS55" i="7"/>
  <c r="AS54" i="7"/>
  <c r="AS53" i="7"/>
  <c r="AS44" i="7"/>
  <c r="AS43" i="7"/>
  <c r="AS47" i="7" s="1"/>
  <c r="AS39" i="7"/>
  <c r="AS38" i="7"/>
  <c r="AS37" i="7"/>
  <c r="AS30" i="7"/>
  <c r="AS27" i="7"/>
  <c r="AS21" i="7"/>
  <c r="AS17" i="7"/>
  <c r="AS16" i="7"/>
  <c r="AS14" i="7"/>
  <c r="AS11" i="7"/>
  <c r="AS10" i="7"/>
  <c r="AS9" i="7"/>
  <c r="AS7" i="7"/>
  <c r="AS6" i="7"/>
  <c r="AS5" i="7"/>
  <c r="AS57" i="6"/>
  <c r="AS55" i="6"/>
  <c r="AS54" i="6"/>
  <c r="AS53" i="6"/>
  <c r="AS44" i="6"/>
  <c r="AS43" i="6"/>
  <c r="AS39" i="6"/>
  <c r="AS38" i="6"/>
  <c r="AS37" i="6"/>
  <c r="AS30" i="6"/>
  <c r="AS27" i="6"/>
  <c r="AS21" i="6"/>
  <c r="AS17" i="6"/>
  <c r="AS16" i="6"/>
  <c r="AS14" i="6"/>
  <c r="AS11" i="6"/>
  <c r="AS10" i="6"/>
  <c r="AS9" i="6"/>
  <c r="AS7" i="6"/>
  <c r="AS6" i="6"/>
  <c r="AS5" i="6"/>
  <c r="AS57" i="5"/>
  <c r="AS55" i="5"/>
  <c r="AS54" i="5"/>
  <c r="AS53" i="5"/>
  <c r="AS45" i="5"/>
  <c r="AS44" i="5"/>
  <c r="AS43" i="5"/>
  <c r="AS39" i="5"/>
  <c r="AS38" i="5"/>
  <c r="AS37" i="5"/>
  <c r="AS30" i="5"/>
  <c r="AS27" i="5"/>
  <c r="AS21" i="5"/>
  <c r="AS17" i="5"/>
  <c r="AS16" i="5"/>
  <c r="AS14" i="5"/>
  <c r="AS11" i="5"/>
  <c r="AS10" i="5"/>
  <c r="AS9" i="5"/>
  <c r="AS7" i="5"/>
  <c r="AS6" i="5"/>
  <c r="AS5" i="5"/>
  <c r="AS57" i="2"/>
  <c r="AS55" i="2"/>
  <c r="AS54" i="2"/>
  <c r="AS53" i="2"/>
  <c r="AS46" i="2"/>
  <c r="AS45" i="2"/>
  <c r="AS44" i="2"/>
  <c r="AS43" i="2"/>
  <c r="AS39" i="2"/>
  <c r="AS38" i="2"/>
  <c r="AS37" i="2"/>
  <c r="AS30" i="2"/>
  <c r="AS27" i="2"/>
  <c r="AS21" i="2"/>
  <c r="AS17" i="2"/>
  <c r="AS16" i="2"/>
  <c r="AS14" i="2"/>
  <c r="AS11" i="2"/>
  <c r="AS10" i="2"/>
  <c r="AS9" i="2"/>
  <c r="AS7" i="2"/>
  <c r="AS6" i="2"/>
  <c r="AS5" i="2"/>
  <c r="AR115" i="1"/>
  <c r="AR104" i="1"/>
  <c r="AR103" i="1"/>
  <c r="AR100" i="1"/>
  <c r="AR99" i="1"/>
  <c r="AR98" i="1"/>
  <c r="AR97" i="1"/>
  <c r="AR96" i="1"/>
  <c r="AR95" i="1"/>
  <c r="AR77" i="1"/>
  <c r="AR75" i="1"/>
  <c r="AR74" i="1"/>
  <c r="AR73" i="1"/>
  <c r="AR64" i="1"/>
  <c r="AR63" i="1"/>
  <c r="AR62" i="1"/>
  <c r="AR61" i="1"/>
  <c r="W58" i="1"/>
  <c r="AR57" i="1"/>
  <c r="AR56" i="1"/>
  <c r="AR55" i="1"/>
  <c r="AR47" i="1"/>
  <c r="AR44" i="1"/>
  <c r="AR41" i="1"/>
  <c r="AR33" i="1"/>
  <c r="AR28" i="1"/>
  <c r="AR24" i="1"/>
  <c r="AR23" i="1"/>
  <c r="AR19" i="1"/>
  <c r="AR18" i="1"/>
  <c r="AR17" i="1"/>
  <c r="AR14" i="1"/>
  <c r="AR13" i="1"/>
  <c r="AR12" i="1"/>
  <c r="AR10" i="1"/>
  <c r="AR9" i="1"/>
  <c r="AR8" i="1"/>
  <c r="X8" i="7"/>
  <c r="X8" i="6"/>
  <c r="X12" i="6" s="1"/>
  <c r="X8" i="5"/>
  <c r="X12" i="5" s="1"/>
  <c r="X8" i="2"/>
  <c r="X12" i="2" s="1"/>
  <c r="AT29" i="2" l="1"/>
  <c r="AT58" i="2"/>
  <c r="AT33" i="2"/>
  <c r="AT29" i="6"/>
  <c r="AT58" i="6"/>
  <c r="AT33" i="6"/>
  <c r="AT29" i="7"/>
  <c r="AT58" i="7"/>
  <c r="AT33" i="7"/>
  <c r="AT29" i="5"/>
  <c r="AT58" i="5"/>
  <c r="AT33" i="5"/>
  <c r="AR21" i="1"/>
  <c r="Z49" i="1"/>
  <c r="AA48" i="1"/>
  <c r="AA49" i="1"/>
  <c r="AS49" i="1" s="1"/>
  <c r="AA86" i="1"/>
  <c r="AS86" i="1" s="1"/>
  <c r="AA85" i="1"/>
  <c r="AS85" i="1" s="1"/>
  <c r="AR82" i="1"/>
  <c r="AS51" i="1"/>
  <c r="AS45" i="1"/>
  <c r="AS46" i="1" s="1"/>
  <c r="AS50" i="1"/>
  <c r="AS52" i="1"/>
  <c r="AR83" i="1"/>
  <c r="AS47" i="5"/>
  <c r="AS50" i="5" s="1"/>
  <c r="AS50" i="7"/>
  <c r="Y49" i="1"/>
  <c r="AS40" i="7"/>
  <c r="X12" i="7"/>
  <c r="AS40" i="5"/>
  <c r="AS59" i="7"/>
  <c r="AS40" i="6"/>
  <c r="AS59" i="5"/>
  <c r="AS59" i="2"/>
  <c r="X49" i="1"/>
  <c r="X18" i="6"/>
  <c r="X24" i="6" s="1"/>
  <c r="X18" i="5"/>
  <c r="X24" i="5" s="1"/>
  <c r="X18" i="2"/>
  <c r="X24" i="2" s="1"/>
  <c r="AR105" i="1"/>
  <c r="AR65" i="1"/>
  <c r="AR58" i="1"/>
  <c r="AS59" i="6"/>
  <c r="AS8" i="6"/>
  <c r="AS12" i="6" s="1"/>
  <c r="AS18" i="6" s="1"/>
  <c r="AS24" i="6" s="1"/>
  <c r="AR78" i="1"/>
  <c r="AR79" i="1"/>
  <c r="AS47" i="6"/>
  <c r="AS50" i="6" s="1"/>
  <c r="AS8" i="7"/>
  <c r="AS8" i="5"/>
  <c r="AS47" i="2"/>
  <c r="AS40" i="2"/>
  <c r="AS8" i="2"/>
  <c r="AR11" i="1"/>
  <c r="AR84" i="1" s="1"/>
  <c r="AS12" i="5" l="1"/>
  <c r="AS49" i="2"/>
  <c r="AT31" i="2"/>
  <c r="AS50" i="2"/>
  <c r="AS12" i="2"/>
  <c r="AS18" i="2" s="1"/>
  <c r="AS49" i="6"/>
  <c r="AT31" i="6"/>
  <c r="X18" i="7"/>
  <c r="X24" i="7" s="1"/>
  <c r="AS49" i="5"/>
  <c r="AT31" i="5"/>
  <c r="AR68" i="1"/>
  <c r="AS70" i="1"/>
  <c r="AR67" i="1"/>
  <c r="AS48" i="1"/>
  <c r="AS12" i="7"/>
  <c r="AS18" i="7" s="1"/>
  <c r="AS49" i="7"/>
  <c r="AT31" i="7"/>
  <c r="AS18" i="5"/>
  <c r="AR15" i="1"/>
  <c r="AS24" i="5" l="1"/>
  <c r="AS24" i="2"/>
  <c r="AS24" i="7"/>
  <c r="AR88" i="1"/>
  <c r="AR25" i="1"/>
  <c r="AR87" i="1" s="1"/>
  <c r="AR31" i="1" l="1"/>
  <c r="AR35" i="1" l="1"/>
  <c r="AR90" i="1"/>
  <c r="AR39" i="1" l="1"/>
  <c r="AR38" i="1"/>
  <c r="AR107" i="1"/>
  <c r="AR106" i="1"/>
  <c r="AR89" i="1" l="1"/>
  <c r="AR109" i="1"/>
  <c r="AR108" i="1"/>
  <c r="W83" i="1"/>
  <c r="W82" i="1"/>
  <c r="Z86" i="1"/>
  <c r="W11" i="1"/>
  <c r="Y86" i="1" l="1"/>
  <c r="X86" i="1"/>
  <c r="W15" i="1"/>
  <c r="Z85" i="1" s="1"/>
  <c r="W84" i="1"/>
  <c r="Y85" i="1" l="1"/>
  <c r="W88" i="1"/>
  <c r="X85" i="1"/>
  <c r="W25" i="1"/>
  <c r="X59" i="7"/>
  <c r="X58" i="7"/>
  <c r="X47" i="7"/>
  <c r="X40" i="7"/>
  <c r="X31" i="7"/>
  <c r="X28" i="7"/>
  <c r="X59" i="6"/>
  <c r="X58" i="6"/>
  <c r="X47" i="6"/>
  <c r="X50" i="6" s="1"/>
  <c r="X40" i="6"/>
  <c r="X32" i="6" s="1"/>
  <c r="AS32" i="6" s="1"/>
  <c r="X31" i="6"/>
  <c r="X28" i="6"/>
  <c r="AS28" i="6" s="1"/>
  <c r="X59" i="5"/>
  <c r="X58" i="5"/>
  <c r="X47" i="5"/>
  <c r="X50" i="5" s="1"/>
  <c r="X40" i="5"/>
  <c r="X32" i="5" s="1"/>
  <c r="AS32" i="5" s="1"/>
  <c r="X31" i="5"/>
  <c r="X28" i="5"/>
  <c r="AS28" i="5" s="1"/>
  <c r="X59" i="2"/>
  <c r="X58" i="2"/>
  <c r="X47" i="2"/>
  <c r="X50" i="2" s="1"/>
  <c r="X40" i="2"/>
  <c r="X34" i="2" s="1"/>
  <c r="AS34" i="2" s="1"/>
  <c r="X31" i="2"/>
  <c r="X28" i="2"/>
  <c r="AS28" i="2" s="1"/>
  <c r="W65" i="1"/>
  <c r="X70" i="1" s="1"/>
  <c r="X32" i="2" l="1"/>
  <c r="AS32" i="2" s="1"/>
  <c r="AA32" i="2"/>
  <c r="AA34" i="2"/>
  <c r="AA32" i="7"/>
  <c r="AA34" i="7"/>
  <c r="AB32" i="6"/>
  <c r="AT32" i="6" s="1"/>
  <c r="AB31" i="6"/>
  <c r="AB34" i="6"/>
  <c r="AT34" i="6" s="1"/>
  <c r="AA32" i="6"/>
  <c r="AA34" i="6"/>
  <c r="AB31" i="5"/>
  <c r="AB32" i="5"/>
  <c r="AT32" i="5" s="1"/>
  <c r="AB34" i="5"/>
  <c r="AT34" i="5" s="1"/>
  <c r="AA32" i="5"/>
  <c r="AA34" i="5"/>
  <c r="AB32" i="2"/>
  <c r="AT32" i="2" s="1"/>
  <c r="AB31" i="2"/>
  <c r="AB34" i="2"/>
  <c r="AT34" i="2" s="1"/>
  <c r="AB32" i="7"/>
  <c r="AT32" i="7" s="1"/>
  <c r="AB31" i="7"/>
  <c r="AB34" i="7"/>
  <c r="AT34" i="7" s="1"/>
  <c r="AS28" i="7"/>
  <c r="X32" i="7"/>
  <c r="AS32" i="7" s="1"/>
  <c r="X50" i="7"/>
  <c r="Z32" i="7"/>
  <c r="Z34" i="7"/>
  <c r="Z32" i="6"/>
  <c r="Z34" i="6"/>
  <c r="Z32" i="5"/>
  <c r="Z34" i="5"/>
  <c r="Z32" i="2"/>
  <c r="Z34" i="2"/>
  <c r="Y32" i="5"/>
  <c r="Y34" i="5"/>
  <c r="X49" i="7"/>
  <c r="Y32" i="7"/>
  <c r="Y34" i="7"/>
  <c r="X49" i="6"/>
  <c r="Y32" i="6"/>
  <c r="Y34" i="6"/>
  <c r="X49" i="5"/>
  <c r="X49" i="2"/>
  <c r="Y32" i="2"/>
  <c r="Y34" i="2"/>
  <c r="W31" i="1"/>
  <c r="W87" i="1"/>
  <c r="X34" i="7"/>
  <c r="AS34" i="7" s="1"/>
  <c r="X33" i="7"/>
  <c r="X33" i="6"/>
  <c r="X34" i="6"/>
  <c r="AS34" i="6" s="1"/>
  <c r="X33" i="5"/>
  <c r="X34" i="5"/>
  <c r="AS34" i="5" s="1"/>
  <c r="X33" i="2"/>
  <c r="W105" i="1"/>
  <c r="W79" i="1"/>
  <c r="W78" i="1"/>
  <c r="W70" i="1"/>
  <c r="W45" i="1"/>
  <c r="W51" i="1"/>
  <c r="W35" i="1" l="1"/>
  <c r="W90" i="1"/>
  <c r="W50" i="1"/>
  <c r="W67" i="1"/>
  <c r="W68" i="1"/>
  <c r="Z92" i="1" l="1"/>
  <c r="Y92" i="1"/>
  <c r="X92" i="1"/>
  <c r="W92" i="1"/>
  <c r="AR92" i="1" s="1"/>
  <c r="W39" i="1"/>
  <c r="W38" i="1"/>
  <c r="W52" i="1"/>
  <c r="Z91" i="1" l="1"/>
  <c r="Y91" i="1"/>
  <c r="X91" i="1"/>
  <c r="W91" i="1"/>
  <c r="AR91" i="1" s="1"/>
  <c r="W108" i="1"/>
  <c r="W109" i="1"/>
  <c r="W89" i="1"/>
  <c r="W107" i="1"/>
  <c r="W106" i="1"/>
  <c r="AR16" i="2" l="1"/>
  <c r="I10" i="2"/>
  <c r="L14" i="2"/>
  <c r="AP16" i="2"/>
  <c r="AQ16" i="2"/>
  <c r="AQ10" i="1" l="1"/>
  <c r="AP10" i="1"/>
  <c r="AO10" i="1"/>
  <c r="AR7" i="7"/>
  <c r="AQ7" i="7"/>
  <c r="AP7" i="7"/>
  <c r="AR7" i="6"/>
  <c r="AQ7" i="6"/>
  <c r="AP7" i="6"/>
  <c r="AR7" i="5"/>
  <c r="AQ7" i="5"/>
  <c r="AP7" i="5"/>
  <c r="AR7" i="2"/>
  <c r="AQ7" i="2"/>
  <c r="AP7" i="2"/>
  <c r="AM11" i="1" l="1"/>
  <c r="AO8" i="5"/>
  <c r="AN8" i="5"/>
  <c r="P8" i="5"/>
  <c r="O8" i="5"/>
  <c r="N8" i="5"/>
  <c r="M8" i="5"/>
  <c r="L8" i="5"/>
  <c r="K8" i="5"/>
  <c r="J8" i="5"/>
  <c r="I8" i="5"/>
  <c r="AO8" i="6"/>
  <c r="AN8" i="6"/>
  <c r="P8" i="6"/>
  <c r="O8" i="6"/>
  <c r="N8" i="6"/>
  <c r="M8" i="6"/>
  <c r="L8" i="6"/>
  <c r="K8" i="6"/>
  <c r="J8" i="6"/>
  <c r="I8" i="6"/>
  <c r="AO8" i="7"/>
  <c r="AN8" i="7"/>
  <c r="P8" i="7"/>
  <c r="O8" i="7"/>
  <c r="N8" i="7"/>
  <c r="M8" i="7"/>
  <c r="L8" i="7"/>
  <c r="K8" i="7"/>
  <c r="J8" i="7"/>
  <c r="I8" i="7"/>
  <c r="AO8" i="2"/>
  <c r="AN8" i="2"/>
  <c r="P8" i="2"/>
  <c r="O8" i="2"/>
  <c r="N8" i="2"/>
  <c r="M8" i="2"/>
  <c r="L8" i="2"/>
  <c r="K8" i="2"/>
  <c r="J8" i="2"/>
  <c r="I8" i="2"/>
  <c r="AN11" i="1"/>
  <c r="S11" i="1"/>
  <c r="R11" i="1"/>
  <c r="Q11" i="1"/>
  <c r="P11" i="1"/>
  <c r="O11" i="1"/>
  <c r="N11" i="1"/>
  <c r="M11" i="1"/>
  <c r="L11" i="1"/>
  <c r="K11" i="1"/>
  <c r="J11" i="1"/>
  <c r="I11" i="1"/>
  <c r="H11" i="1"/>
  <c r="K23" i="1"/>
  <c r="J23" i="1"/>
  <c r="I23" i="1"/>
  <c r="AO11" i="2"/>
  <c r="AM12" i="1"/>
  <c r="AN12" i="1"/>
  <c r="AQ24" i="1"/>
  <c r="AP24" i="1"/>
  <c r="AO24" i="1"/>
  <c r="AP17" i="5"/>
  <c r="AP17" i="6"/>
  <c r="AP17" i="7"/>
  <c r="AP17" i="2"/>
  <c r="P14" i="7" l="1"/>
  <c r="O14" i="7"/>
  <c r="N14" i="7"/>
  <c r="P14" i="6"/>
  <c r="O14" i="6"/>
  <c r="N14" i="6"/>
  <c r="P14" i="5"/>
  <c r="O14" i="5"/>
  <c r="N14" i="5"/>
  <c r="P14" i="2"/>
  <c r="O14" i="2"/>
  <c r="N14" i="2"/>
  <c r="L14" i="7"/>
  <c r="AP14" i="7" s="1"/>
  <c r="L14" i="6"/>
  <c r="AP14" i="2"/>
  <c r="AP16" i="6"/>
  <c r="AP16" i="7"/>
  <c r="AP16" i="5"/>
  <c r="L14" i="5"/>
  <c r="K14" i="5"/>
  <c r="J14" i="5"/>
  <c r="I14" i="5"/>
  <c r="AO14" i="5"/>
  <c r="AN14" i="7"/>
  <c r="AN14" i="6"/>
  <c r="AN14" i="5"/>
  <c r="AN14" i="2"/>
  <c r="I10" i="7"/>
  <c r="I10" i="6"/>
  <c r="I10" i="5"/>
  <c r="AP14" i="6" l="1"/>
  <c r="AP14" i="5"/>
  <c r="AQ21" i="5"/>
  <c r="AP21" i="5"/>
  <c r="AP20" i="5"/>
  <c r="AQ21" i="6"/>
  <c r="AP21" i="6"/>
  <c r="AP20" i="6"/>
  <c r="AQ21" i="7"/>
  <c r="AP21" i="7"/>
  <c r="AP20" i="7"/>
  <c r="AQ21" i="2"/>
  <c r="AP21" i="2"/>
  <c r="AP20" i="2"/>
  <c r="AR17" i="5"/>
  <c r="AQ17" i="5"/>
  <c r="AR16" i="5"/>
  <c r="AQ16" i="5"/>
  <c r="AR17" i="6"/>
  <c r="AQ17" i="6"/>
  <c r="AR16" i="6"/>
  <c r="AQ16" i="6"/>
  <c r="AR17" i="7"/>
  <c r="AQ17" i="7"/>
  <c r="AR16" i="7"/>
  <c r="AQ16" i="7"/>
  <c r="AR17" i="2"/>
  <c r="AQ17" i="2"/>
  <c r="AR5" i="7" l="1"/>
  <c r="AQ8" i="1" l="1"/>
  <c r="AQ41" i="1" l="1"/>
  <c r="AR6" i="6"/>
  <c r="AR5" i="2"/>
  <c r="S105" i="1"/>
  <c r="R83" i="1" l="1"/>
  <c r="S82" i="1"/>
  <c r="S83" i="1"/>
  <c r="R82" i="1"/>
  <c r="AQ73" i="1"/>
  <c r="S79" i="1"/>
  <c r="S78" i="1"/>
  <c r="S65" i="1"/>
  <c r="S46" i="1"/>
  <c r="S45" i="1"/>
  <c r="S84" i="1"/>
  <c r="AR57" i="7"/>
  <c r="AR55" i="7"/>
  <c r="AR54" i="7"/>
  <c r="AR53" i="7"/>
  <c r="AR59" i="7" s="1"/>
  <c r="AR44" i="7"/>
  <c r="AR43" i="7"/>
  <c r="AR39" i="7"/>
  <c r="AR38" i="7"/>
  <c r="AR37" i="7"/>
  <c r="AR30" i="7"/>
  <c r="AR27" i="7"/>
  <c r="AR14" i="7"/>
  <c r="AR11" i="7"/>
  <c r="AR10" i="7"/>
  <c r="AR9" i="7"/>
  <c r="AR6" i="7"/>
  <c r="AR8" i="7" s="1"/>
  <c r="AR57" i="6"/>
  <c r="AR55" i="6"/>
  <c r="AR54" i="6"/>
  <c r="AR53" i="6"/>
  <c r="AR44" i="6"/>
  <c r="AR43" i="6"/>
  <c r="AR39" i="6"/>
  <c r="AR38" i="6"/>
  <c r="AR37" i="6"/>
  <c r="AR30" i="6"/>
  <c r="AR27" i="6"/>
  <c r="AR14" i="6"/>
  <c r="AR11" i="6"/>
  <c r="AR10" i="6"/>
  <c r="AR9" i="6"/>
  <c r="AR5" i="6"/>
  <c r="AR8" i="6" s="1"/>
  <c r="AR57" i="5"/>
  <c r="AR55" i="5"/>
  <c r="AR54" i="5"/>
  <c r="AR53" i="5"/>
  <c r="AR44" i="5"/>
  <c r="AR43" i="5"/>
  <c r="AR47" i="5" s="1"/>
  <c r="AR39" i="5"/>
  <c r="AR38" i="5"/>
  <c r="AR37" i="5"/>
  <c r="AR30" i="5"/>
  <c r="AR27" i="5"/>
  <c r="AR14" i="5"/>
  <c r="AR11" i="5"/>
  <c r="AR10" i="5"/>
  <c r="AR9" i="5"/>
  <c r="AR6" i="5"/>
  <c r="AR5" i="5"/>
  <c r="AR57" i="2"/>
  <c r="AR55" i="2"/>
  <c r="AR54" i="2"/>
  <c r="AR53" i="2"/>
  <c r="AR46" i="2"/>
  <c r="AR45" i="2"/>
  <c r="AR44" i="2"/>
  <c r="AR43" i="2"/>
  <c r="AR39" i="2"/>
  <c r="AR38" i="2"/>
  <c r="AR37" i="2"/>
  <c r="AR30" i="2"/>
  <c r="AR27" i="2"/>
  <c r="AR14" i="2"/>
  <c r="AR11" i="2"/>
  <c r="AR10" i="2"/>
  <c r="AR9" i="2"/>
  <c r="AR6" i="2"/>
  <c r="T70" i="1" l="1"/>
  <c r="AS58" i="7"/>
  <c r="AS33" i="7"/>
  <c r="AS58" i="6"/>
  <c r="AS33" i="6"/>
  <c r="AS58" i="5"/>
  <c r="AS33" i="5"/>
  <c r="AS58" i="2"/>
  <c r="AS33" i="2"/>
  <c r="AR8" i="5"/>
  <c r="AR8" i="2"/>
  <c r="S51" i="1"/>
  <c r="AR40" i="2"/>
  <c r="AR12" i="6"/>
  <c r="AR18" i="6" s="1"/>
  <c r="AR50" i="5"/>
  <c r="AR47" i="6"/>
  <c r="AR50" i="6" s="1"/>
  <c r="AR47" i="2"/>
  <c r="AR59" i="6"/>
  <c r="S68" i="1"/>
  <c r="S15" i="1"/>
  <c r="AR40" i="7"/>
  <c r="AR47" i="7"/>
  <c r="AR50" i="7" s="1"/>
  <c r="AR40" i="6"/>
  <c r="AR59" i="5"/>
  <c r="AR40" i="5"/>
  <c r="AR12" i="7"/>
  <c r="AR18" i="7" s="1"/>
  <c r="AR59" i="2"/>
  <c r="AR12" i="5" l="1"/>
  <c r="AR49" i="7"/>
  <c r="AS31" i="7"/>
  <c r="AR49" i="6"/>
  <c r="AS31" i="6"/>
  <c r="AR49" i="5"/>
  <c r="AS31" i="5"/>
  <c r="AS31" i="2"/>
  <c r="S25" i="1"/>
  <c r="AR50" i="2"/>
  <c r="AR49" i="2"/>
  <c r="AR12" i="2"/>
  <c r="S50" i="1"/>
  <c r="AR24" i="6"/>
  <c r="S88" i="1"/>
  <c r="AR24" i="7"/>
  <c r="S58" i="1"/>
  <c r="AQ47" i="1"/>
  <c r="AQ115" i="1"/>
  <c r="AQ111" i="1"/>
  <c r="AQ104" i="1"/>
  <c r="AQ103" i="1"/>
  <c r="AQ100" i="1"/>
  <c r="AQ99" i="1"/>
  <c r="AQ98" i="1"/>
  <c r="AQ97" i="1"/>
  <c r="AQ96" i="1"/>
  <c r="AQ95" i="1"/>
  <c r="AQ77" i="1"/>
  <c r="AQ75" i="1"/>
  <c r="AQ74" i="1"/>
  <c r="AQ64" i="1"/>
  <c r="AQ63" i="1"/>
  <c r="AQ62" i="1"/>
  <c r="AQ61" i="1"/>
  <c r="AQ57" i="1"/>
  <c r="AQ56" i="1"/>
  <c r="AQ55" i="1"/>
  <c r="AQ44" i="1"/>
  <c r="AQ33" i="1"/>
  <c r="AQ23" i="1"/>
  <c r="AQ19" i="1"/>
  <c r="AQ18" i="1"/>
  <c r="AQ17" i="1"/>
  <c r="AQ14" i="1"/>
  <c r="AQ13" i="1"/>
  <c r="AQ12" i="1"/>
  <c r="AQ9" i="1"/>
  <c r="AP41" i="1"/>
  <c r="AO41" i="1"/>
  <c r="AP96" i="1"/>
  <c r="AO96" i="1"/>
  <c r="AN96" i="1"/>
  <c r="AM96" i="1"/>
  <c r="AR18" i="5" l="1"/>
  <c r="AQ21" i="1"/>
  <c r="AR45" i="1"/>
  <c r="AR51" i="1"/>
  <c r="AR50" i="1"/>
  <c r="AR52" i="1"/>
  <c r="W86" i="1"/>
  <c r="AR86" i="1" s="1"/>
  <c r="W85" i="1"/>
  <c r="AR85" i="1" s="1"/>
  <c r="W49" i="1"/>
  <c r="AR49" i="1" s="1"/>
  <c r="W48" i="1"/>
  <c r="AR18" i="2"/>
  <c r="AQ11" i="1"/>
  <c r="AQ83" i="1"/>
  <c r="S52" i="1"/>
  <c r="S31" i="1"/>
  <c r="S87" i="1"/>
  <c r="S67" i="1"/>
  <c r="AQ65" i="1"/>
  <c r="AQ78" i="1"/>
  <c r="AQ105" i="1"/>
  <c r="AQ58" i="1"/>
  <c r="AQ79" i="1"/>
  <c r="AQ82" i="1"/>
  <c r="AR24" i="5" l="1"/>
  <c r="AR70" i="1"/>
  <c r="AR48" i="1"/>
  <c r="AQ67" i="1"/>
  <c r="AR24" i="2"/>
  <c r="AQ15" i="1"/>
  <c r="S35" i="1"/>
  <c r="V92" i="1" s="1"/>
  <c r="S90" i="1"/>
  <c r="R15" i="1"/>
  <c r="R84" i="1"/>
  <c r="AQ68" i="1"/>
  <c r="AQ84" i="1"/>
  <c r="AP100" i="1"/>
  <c r="AP99" i="1"/>
  <c r="AP98" i="1"/>
  <c r="R65" i="1"/>
  <c r="R58" i="1"/>
  <c r="R51" i="1"/>
  <c r="R45" i="1"/>
  <c r="R46" i="1"/>
  <c r="R78" i="1"/>
  <c r="R79" i="1"/>
  <c r="R105" i="1"/>
  <c r="R111" i="1"/>
  <c r="S39" i="1" l="1"/>
  <c r="V48" i="1"/>
  <c r="V49" i="1"/>
  <c r="V86" i="1"/>
  <c r="V85" i="1"/>
  <c r="R67" i="1"/>
  <c r="R25" i="1"/>
  <c r="AQ25" i="1"/>
  <c r="S106" i="1"/>
  <c r="S38" i="1"/>
  <c r="V91" i="1" s="1"/>
  <c r="S107" i="1"/>
  <c r="AQ88" i="1"/>
  <c r="R68" i="1"/>
  <c r="S70" i="1"/>
  <c r="R88" i="1"/>
  <c r="R50" i="1"/>
  <c r="L31" i="7"/>
  <c r="K31" i="7"/>
  <c r="S109" i="1" l="1"/>
  <c r="S108" i="1"/>
  <c r="AQ87" i="1"/>
  <c r="R31" i="1"/>
  <c r="S89" i="1"/>
  <c r="R52" i="1"/>
  <c r="R87" i="1"/>
  <c r="AQ31" i="1"/>
  <c r="R90" i="1" l="1"/>
  <c r="R35" i="1"/>
  <c r="R107" i="1" s="1"/>
  <c r="AQ90" i="1"/>
  <c r="AQ35" i="1"/>
  <c r="AQ39" i="1" s="1"/>
  <c r="G75" i="1"/>
  <c r="F75" i="1"/>
  <c r="E75" i="1"/>
  <c r="D75" i="1"/>
  <c r="G77" i="1"/>
  <c r="F77" i="1"/>
  <c r="E77" i="1"/>
  <c r="D77" i="1"/>
  <c r="G74" i="1"/>
  <c r="F74" i="1"/>
  <c r="E74" i="1"/>
  <c r="D74" i="1"/>
  <c r="C74" i="1"/>
  <c r="G73" i="1"/>
  <c r="F73" i="1"/>
  <c r="E73" i="1"/>
  <c r="D73" i="1"/>
  <c r="C73" i="1"/>
  <c r="R39" i="1" l="1"/>
  <c r="U92" i="1"/>
  <c r="R106" i="1"/>
  <c r="R38" i="1"/>
  <c r="U91" i="1" s="1"/>
  <c r="AQ107" i="1"/>
  <c r="AQ106" i="1"/>
  <c r="AQ38" i="1"/>
  <c r="R89" i="1" l="1"/>
  <c r="R108" i="1"/>
  <c r="R109" i="1"/>
  <c r="AQ89" i="1"/>
  <c r="AQ109" i="1"/>
  <c r="AQ108" i="1"/>
  <c r="Q111" i="1"/>
  <c r="Q105" i="1"/>
  <c r="Q83" i="1"/>
  <c r="Q82" i="1"/>
  <c r="Q79" i="1"/>
  <c r="Q78" i="1"/>
  <c r="Q65" i="1"/>
  <c r="Q58" i="1"/>
  <c r="Q45" i="1"/>
  <c r="U49" i="1" l="1"/>
  <c r="U48" i="1"/>
  <c r="U86" i="1"/>
  <c r="U85" i="1"/>
  <c r="Q84" i="1"/>
  <c r="Q68" i="1"/>
  <c r="R70" i="1"/>
  <c r="Q15" i="1"/>
  <c r="Q51" i="1"/>
  <c r="Q67" i="1"/>
  <c r="AN49" i="1"/>
  <c r="Q25" i="1" l="1"/>
  <c r="Q50" i="1"/>
  <c r="Q88" i="1"/>
  <c r="AP44" i="7"/>
  <c r="AO44" i="7"/>
  <c r="AN44" i="7"/>
  <c r="P44" i="7"/>
  <c r="O44" i="7"/>
  <c r="N44" i="7"/>
  <c r="M44" i="7"/>
  <c r="L44" i="7"/>
  <c r="K44" i="7"/>
  <c r="J44" i="7"/>
  <c r="I44" i="7"/>
  <c r="AP44" i="6"/>
  <c r="AO44" i="6"/>
  <c r="AN44" i="6"/>
  <c r="P44" i="6"/>
  <c r="O44" i="6"/>
  <c r="N44" i="6"/>
  <c r="M44" i="6"/>
  <c r="L44" i="6"/>
  <c r="K44" i="6"/>
  <c r="J44" i="6"/>
  <c r="I44" i="6"/>
  <c r="Q52" i="1" l="1"/>
  <c r="Q31" i="1"/>
  <c r="Q87" i="1"/>
  <c r="Q35" i="1" l="1"/>
  <c r="T92" i="1" s="1"/>
  <c r="Q90" i="1"/>
  <c r="Q106" i="1" l="1"/>
  <c r="Q107" i="1"/>
  <c r="Q38" i="1"/>
  <c r="T91" i="1" s="1"/>
  <c r="Q39" i="1"/>
  <c r="P111" i="1"/>
  <c r="P105" i="1"/>
  <c r="P83" i="1"/>
  <c r="P82" i="1"/>
  <c r="P79" i="1"/>
  <c r="P78" i="1"/>
  <c r="P65" i="1"/>
  <c r="P58" i="1"/>
  <c r="P45" i="1"/>
  <c r="P15" i="1"/>
  <c r="AR28" i="5"/>
  <c r="AR28" i="6"/>
  <c r="AR28" i="7"/>
  <c r="Q109" i="1" l="1"/>
  <c r="Q108" i="1"/>
  <c r="T49" i="1"/>
  <c r="T48" i="1"/>
  <c r="T86" i="1"/>
  <c r="T85" i="1"/>
  <c r="AR28" i="2"/>
  <c r="P25" i="1"/>
  <c r="P67" i="1"/>
  <c r="Q89" i="1"/>
  <c r="P51" i="1"/>
  <c r="P68" i="1"/>
  <c r="Q70" i="1"/>
  <c r="P88" i="1"/>
  <c r="P50" i="1"/>
  <c r="P84" i="1"/>
  <c r="P87" i="1" l="1"/>
  <c r="P31" i="1"/>
  <c r="P52" i="1"/>
  <c r="H32" i="2"/>
  <c r="P35" i="1" l="1"/>
  <c r="P90" i="1"/>
  <c r="C44" i="1"/>
  <c r="P39" i="1" l="1"/>
  <c r="S92" i="1"/>
  <c r="AQ92" i="1" s="1"/>
  <c r="P107" i="1"/>
  <c r="P106" i="1"/>
  <c r="P38" i="1"/>
  <c r="S91" i="1" s="1"/>
  <c r="AQ91" i="1" s="1"/>
  <c r="O105" i="1"/>
  <c r="P109" i="1" l="1"/>
  <c r="P108" i="1"/>
  <c r="P89" i="1"/>
  <c r="N111" i="1"/>
  <c r="N112" i="1" s="1"/>
  <c r="M111" i="1"/>
  <c r="M112" i="1" s="1"/>
  <c r="L111" i="1"/>
  <c r="L112" i="1" s="1"/>
  <c r="K111" i="1"/>
  <c r="K112" i="1" s="1"/>
  <c r="J111" i="1"/>
  <c r="J112" i="1" s="1"/>
  <c r="I111" i="1"/>
  <c r="I112" i="1" s="1"/>
  <c r="H111" i="1"/>
  <c r="H112" i="1" s="1"/>
  <c r="G115" i="1" l="1"/>
  <c r="O83" i="1" l="1"/>
  <c r="O82" i="1"/>
  <c r="P58" i="2" l="1"/>
  <c r="O58" i="2"/>
  <c r="AQ57" i="6"/>
  <c r="AQ55" i="6"/>
  <c r="AQ54" i="6"/>
  <c r="AQ53" i="6"/>
  <c r="AQ43" i="6"/>
  <c r="AQ44" i="6" s="1"/>
  <c r="AQ39" i="6"/>
  <c r="AQ38" i="6"/>
  <c r="AQ37" i="6"/>
  <c r="AQ30" i="6"/>
  <c r="AQ27" i="6"/>
  <c r="AQ14" i="6"/>
  <c r="AQ11" i="6"/>
  <c r="AQ10" i="6"/>
  <c r="AQ9" i="6"/>
  <c r="AQ6" i="6"/>
  <c r="AQ5" i="6"/>
  <c r="AQ57" i="7"/>
  <c r="AQ55" i="7"/>
  <c r="AQ54" i="7"/>
  <c r="AQ53" i="7"/>
  <c r="AQ43" i="7"/>
  <c r="AQ44" i="7" s="1"/>
  <c r="AQ39" i="7"/>
  <c r="AQ38" i="7"/>
  <c r="AQ37" i="7"/>
  <c r="AQ30" i="7"/>
  <c r="AQ27" i="7"/>
  <c r="AQ14" i="7"/>
  <c r="AQ11" i="7"/>
  <c r="AQ10" i="7"/>
  <c r="AQ9" i="7"/>
  <c r="AQ6" i="7"/>
  <c r="AQ5" i="7"/>
  <c r="AQ57" i="5"/>
  <c r="AQ55" i="5"/>
  <c r="AQ54" i="5"/>
  <c r="AQ53" i="5"/>
  <c r="AQ44" i="5"/>
  <c r="AQ43" i="5"/>
  <c r="AQ39" i="5"/>
  <c r="AQ38" i="5"/>
  <c r="AQ37" i="5"/>
  <c r="AQ30" i="5"/>
  <c r="AQ27" i="5"/>
  <c r="AQ14" i="5"/>
  <c r="AQ11" i="5"/>
  <c r="AQ10" i="5"/>
  <c r="AQ9" i="5"/>
  <c r="AQ6" i="5"/>
  <c r="AQ5" i="5"/>
  <c r="AO40" i="2"/>
  <c r="AN40" i="2"/>
  <c r="AQ8" i="7" l="1"/>
  <c r="AQ12" i="7" s="1"/>
  <c r="AQ18" i="7" s="1"/>
  <c r="AQ8" i="6"/>
  <c r="AN32" i="2"/>
  <c r="AQ8" i="5"/>
  <c r="AR29" i="5"/>
  <c r="AR58" i="5"/>
  <c r="AR33" i="5"/>
  <c r="AR29" i="6"/>
  <c r="AR33" i="6"/>
  <c r="AR58" i="6"/>
  <c r="AR29" i="7"/>
  <c r="AR58" i="7"/>
  <c r="AR33" i="7"/>
  <c r="AQ59" i="5"/>
  <c r="AQ59" i="7"/>
  <c r="AQ59" i="6"/>
  <c r="AQ40" i="7"/>
  <c r="AQ47" i="5"/>
  <c r="AQ50" i="5" s="1"/>
  <c r="AQ47" i="7"/>
  <c r="AQ50" i="7" s="1"/>
  <c r="AQ47" i="6"/>
  <c r="AQ40" i="5"/>
  <c r="AQ12" i="6"/>
  <c r="AQ18" i="6" s="1"/>
  <c r="AQ40" i="6"/>
  <c r="AQ12" i="5" l="1"/>
  <c r="AQ24" i="7"/>
  <c r="AQ24" i="6"/>
  <c r="AQ49" i="7"/>
  <c r="AR31" i="7"/>
  <c r="AQ49" i="6"/>
  <c r="AR31" i="6"/>
  <c r="AQ49" i="5"/>
  <c r="AR31" i="5"/>
  <c r="AQ50" i="6"/>
  <c r="P12" i="5"/>
  <c r="O65" i="1"/>
  <c r="O58" i="1"/>
  <c r="O45" i="1"/>
  <c r="P47" i="7"/>
  <c r="P40" i="7"/>
  <c r="P29" i="7"/>
  <c r="P28" i="7"/>
  <c r="P12" i="7"/>
  <c r="P47" i="6"/>
  <c r="P50" i="6" s="1"/>
  <c r="P40" i="6"/>
  <c r="P29" i="6"/>
  <c r="P28" i="6"/>
  <c r="P12" i="6"/>
  <c r="P47" i="5"/>
  <c r="P50" i="5" s="1"/>
  <c r="P40" i="5"/>
  <c r="P29" i="5"/>
  <c r="P28" i="5"/>
  <c r="AP47" i="6"/>
  <c r="AO47" i="6"/>
  <c r="AN47" i="6"/>
  <c r="O47" i="6"/>
  <c r="N47" i="6"/>
  <c r="M47" i="6"/>
  <c r="L47" i="6"/>
  <c r="K47" i="6"/>
  <c r="J47" i="6"/>
  <c r="I47" i="6"/>
  <c r="AP47" i="7"/>
  <c r="AO47" i="7"/>
  <c r="AN47" i="7"/>
  <c r="O47" i="7"/>
  <c r="N47" i="7"/>
  <c r="M47" i="7"/>
  <c r="L47" i="7"/>
  <c r="K47" i="7"/>
  <c r="J47" i="7"/>
  <c r="I47" i="7"/>
  <c r="AP47" i="5"/>
  <c r="AO47" i="5"/>
  <c r="AN47" i="5"/>
  <c r="O47" i="5"/>
  <c r="N47" i="5"/>
  <c r="M47" i="5"/>
  <c r="L47" i="5"/>
  <c r="K47" i="5"/>
  <c r="J47" i="5"/>
  <c r="I47" i="5"/>
  <c r="AO47" i="2"/>
  <c r="AN47" i="2"/>
  <c r="O47" i="2"/>
  <c r="N47" i="2"/>
  <c r="M47" i="2"/>
  <c r="L47" i="2"/>
  <c r="K47" i="2"/>
  <c r="J47" i="2"/>
  <c r="I47" i="2"/>
  <c r="P47" i="2"/>
  <c r="P40" i="2"/>
  <c r="P29" i="2"/>
  <c r="P28" i="2"/>
  <c r="AQ18" i="5" l="1"/>
  <c r="P50" i="7"/>
  <c r="P18" i="7"/>
  <c r="T31" i="7"/>
  <c r="T32" i="7"/>
  <c r="AR32" i="7" s="1"/>
  <c r="T34" i="7"/>
  <c r="AR34" i="7" s="1"/>
  <c r="T31" i="6"/>
  <c r="T34" i="6"/>
  <c r="AR34" i="6" s="1"/>
  <c r="T32" i="6"/>
  <c r="AR32" i="6" s="1"/>
  <c r="P18" i="6"/>
  <c r="P24" i="6" s="1"/>
  <c r="T31" i="5"/>
  <c r="T32" i="5"/>
  <c r="AR32" i="5" s="1"/>
  <c r="T34" i="5"/>
  <c r="AR34" i="5" s="1"/>
  <c r="P18" i="5"/>
  <c r="P24" i="5" s="1"/>
  <c r="T31" i="2"/>
  <c r="T32" i="2"/>
  <c r="AR32" i="2" s="1"/>
  <c r="T34" i="2"/>
  <c r="AR34" i="2" s="1"/>
  <c r="P50" i="2"/>
  <c r="P12" i="2"/>
  <c r="P49" i="7"/>
  <c r="P49" i="6"/>
  <c r="P49" i="5"/>
  <c r="S48" i="1"/>
  <c r="S49" i="1"/>
  <c r="S86" i="1"/>
  <c r="S85" i="1"/>
  <c r="O84" i="1"/>
  <c r="O51" i="1"/>
  <c r="O67" i="1"/>
  <c r="O68" i="1"/>
  <c r="P70" i="1"/>
  <c r="P33" i="6"/>
  <c r="P33" i="7"/>
  <c r="P33" i="5"/>
  <c r="P49" i="2"/>
  <c r="O15" i="1"/>
  <c r="AQ24" i="5" l="1"/>
  <c r="P24" i="7"/>
  <c r="P18" i="2"/>
  <c r="P24" i="2" s="1"/>
  <c r="AQ86" i="1"/>
  <c r="AQ49" i="1"/>
  <c r="AQ85" i="1"/>
  <c r="O25" i="1"/>
  <c r="P33" i="2"/>
  <c r="O50" i="1"/>
  <c r="O88" i="1"/>
  <c r="AP103" i="1"/>
  <c r="O52" i="1" l="1"/>
  <c r="O31" i="1"/>
  <c r="O87" i="1"/>
  <c r="O111" i="1"/>
  <c r="AP111" i="1" s="1"/>
  <c r="O79" i="1"/>
  <c r="O78" i="1"/>
  <c r="O90" i="1" l="1"/>
  <c r="O35" i="1"/>
  <c r="O112" i="1"/>
  <c r="AP112" i="1" s="1"/>
  <c r="O39" i="1" l="1"/>
  <c r="R92" i="1"/>
  <c r="O38" i="1"/>
  <c r="R91" i="1" s="1"/>
  <c r="O106" i="1"/>
  <c r="O107" i="1"/>
  <c r="P59" i="2"/>
  <c r="P59" i="5"/>
  <c r="P58" i="5"/>
  <c r="P59" i="6"/>
  <c r="P58" i="6"/>
  <c r="P59" i="7"/>
  <c r="P58" i="7"/>
  <c r="AP115" i="1"/>
  <c r="AP104" i="1"/>
  <c r="AP105" i="1" s="1"/>
  <c r="AP97" i="1"/>
  <c r="AP95" i="1"/>
  <c r="AP64" i="1"/>
  <c r="AP63" i="1"/>
  <c r="AP62" i="1"/>
  <c r="AP61" i="1"/>
  <c r="AP57" i="1"/>
  <c r="AP56" i="1"/>
  <c r="AP55" i="1"/>
  <c r="AP44" i="1"/>
  <c r="AP33" i="1"/>
  <c r="AP28" i="1"/>
  <c r="AP23" i="1"/>
  <c r="AP19" i="1"/>
  <c r="AP18" i="1"/>
  <c r="AP14" i="1"/>
  <c r="AP13" i="1"/>
  <c r="AP12" i="1"/>
  <c r="AP9" i="1"/>
  <c r="AP8" i="1"/>
  <c r="O109" i="1" l="1"/>
  <c r="O108" i="1"/>
  <c r="AQ45" i="1"/>
  <c r="AQ46" i="1" s="1"/>
  <c r="AQ51" i="1"/>
  <c r="AQ50" i="1"/>
  <c r="AQ52" i="1"/>
  <c r="AP11" i="1"/>
  <c r="O89" i="1"/>
  <c r="AP82" i="1"/>
  <c r="AP83" i="1"/>
  <c r="AP65" i="1"/>
  <c r="AP58" i="1"/>
  <c r="AQ46" i="2"/>
  <c r="AQ45" i="2"/>
  <c r="AQ44" i="2"/>
  <c r="AQ43" i="2"/>
  <c r="AQ14" i="2"/>
  <c r="AQ57" i="2"/>
  <c r="AQ55" i="2"/>
  <c r="AQ54" i="2"/>
  <c r="AQ53" i="2"/>
  <c r="AQ39" i="2"/>
  <c r="AQ38" i="2"/>
  <c r="AQ37" i="2"/>
  <c r="AQ30" i="2"/>
  <c r="AQ27" i="2"/>
  <c r="AQ11" i="2"/>
  <c r="AQ10" i="2"/>
  <c r="AQ9" i="2"/>
  <c r="AQ6" i="2"/>
  <c r="AQ5" i="2"/>
  <c r="AQ48" i="1" l="1"/>
  <c r="AQ70" i="1"/>
  <c r="AQ8" i="2"/>
  <c r="AR58" i="2"/>
  <c r="AR29" i="2"/>
  <c r="AR33" i="2"/>
  <c r="AP68" i="1"/>
  <c r="AP84" i="1"/>
  <c r="AQ47" i="2"/>
  <c r="AP15" i="1"/>
  <c r="AQ40" i="2"/>
  <c r="AP67" i="1"/>
  <c r="AQ59" i="2"/>
  <c r="N62" i="1"/>
  <c r="M62" i="1"/>
  <c r="AO64" i="1"/>
  <c r="AO63" i="1"/>
  <c r="AO61" i="1"/>
  <c r="AR31" i="2" l="1"/>
  <c r="AQ49" i="2"/>
  <c r="AQ50" i="2"/>
  <c r="AO65" i="1"/>
  <c r="AP70" i="1" l="1"/>
  <c r="AO68" i="1"/>
  <c r="AP45" i="2" l="1"/>
  <c r="AP44" i="2"/>
  <c r="AN65" i="1"/>
  <c r="AM65" i="1"/>
  <c r="N65" i="1"/>
  <c r="M65" i="1"/>
  <c r="L65" i="1"/>
  <c r="K65" i="1"/>
  <c r="J65" i="1"/>
  <c r="I65" i="1"/>
  <c r="H65" i="1"/>
  <c r="K62" i="1"/>
  <c r="AO62" i="1" l="1"/>
  <c r="L70" i="1"/>
  <c r="AN70" i="1"/>
  <c r="G65" i="1"/>
  <c r="O70" i="1"/>
  <c r="AP47" i="2"/>
  <c r="J70" i="1"/>
  <c r="N70" i="1"/>
  <c r="M70" i="1"/>
  <c r="I70" i="1"/>
  <c r="K70" i="1"/>
  <c r="N58" i="1"/>
  <c r="AO40" i="7"/>
  <c r="AN40" i="7"/>
  <c r="O40" i="7"/>
  <c r="N40" i="7"/>
  <c r="M40" i="7"/>
  <c r="L40" i="7"/>
  <c r="K40" i="7"/>
  <c r="J40" i="7"/>
  <c r="I40" i="7"/>
  <c r="AO40" i="6"/>
  <c r="AN40" i="6"/>
  <c r="AN32" i="6" s="1"/>
  <c r="O40" i="6"/>
  <c r="N40" i="6"/>
  <c r="M40" i="6"/>
  <c r="L40" i="6"/>
  <c r="K40" i="6"/>
  <c r="J40" i="6"/>
  <c r="I40" i="6"/>
  <c r="AO40" i="5"/>
  <c r="AN40" i="5"/>
  <c r="O40" i="5"/>
  <c r="N40" i="5"/>
  <c r="M40" i="5"/>
  <c r="L40" i="5"/>
  <c r="K40" i="5"/>
  <c r="J40" i="5"/>
  <c r="I40" i="5"/>
  <c r="O40" i="2"/>
  <c r="N40" i="2"/>
  <c r="M40" i="2"/>
  <c r="L40" i="2"/>
  <c r="K40" i="2"/>
  <c r="J40" i="2"/>
  <c r="I40" i="2"/>
  <c r="N31" i="7" l="1"/>
  <c r="M31" i="7"/>
  <c r="P31" i="7"/>
  <c r="AN32" i="7"/>
  <c r="O31" i="7"/>
  <c r="R31" i="7"/>
  <c r="R32" i="7"/>
  <c r="S31" i="7"/>
  <c r="S32" i="7"/>
  <c r="S34" i="7"/>
  <c r="Q31" i="7"/>
  <c r="Q32" i="7"/>
  <c r="S31" i="6"/>
  <c r="S32" i="6"/>
  <c r="S34" i="6"/>
  <c r="Q31" i="6"/>
  <c r="Q32" i="6"/>
  <c r="R31" i="6"/>
  <c r="R32" i="6"/>
  <c r="Q31" i="5"/>
  <c r="Q32" i="5"/>
  <c r="R32" i="5"/>
  <c r="R31" i="5"/>
  <c r="S31" i="5"/>
  <c r="S32" i="5"/>
  <c r="S34" i="5"/>
  <c r="S31" i="2"/>
  <c r="S32" i="2"/>
  <c r="S34" i="2"/>
  <c r="Q31" i="2"/>
  <c r="Q32" i="2"/>
  <c r="R31" i="2"/>
  <c r="R32" i="2"/>
  <c r="AN32" i="5"/>
  <c r="R49" i="1"/>
  <c r="R86" i="1"/>
  <c r="R85" i="1"/>
  <c r="R48" i="1"/>
  <c r="O32" i="2"/>
  <c r="P32" i="5"/>
  <c r="AQ32" i="5" s="1"/>
  <c r="P32" i="7"/>
  <c r="AQ32" i="7" s="1"/>
  <c r="O32" i="6"/>
  <c r="N32" i="7"/>
  <c r="P32" i="6"/>
  <c r="AQ32" i="6" s="1"/>
  <c r="O32" i="7"/>
  <c r="N32" i="2"/>
  <c r="O32" i="5"/>
  <c r="N32" i="6"/>
  <c r="M32" i="5"/>
  <c r="L32" i="5"/>
  <c r="AP32" i="5" s="1"/>
  <c r="J32" i="5"/>
  <c r="I32" i="5"/>
  <c r="K32" i="5"/>
  <c r="J32" i="7"/>
  <c r="I32" i="7"/>
  <c r="M32" i="7"/>
  <c r="K32" i="7"/>
  <c r="L32" i="7"/>
  <c r="AP32" i="7" s="1"/>
  <c r="N32" i="5"/>
  <c r="L32" i="6"/>
  <c r="AP32" i="6" s="1"/>
  <c r="K32" i="6"/>
  <c r="J32" i="6"/>
  <c r="M32" i="6"/>
  <c r="I32" i="6"/>
  <c r="P31" i="5"/>
  <c r="P31" i="6"/>
  <c r="P31" i="2"/>
  <c r="P32" i="2"/>
  <c r="AQ32" i="2" s="1"/>
  <c r="I32" i="2"/>
  <c r="J32" i="2"/>
  <c r="K32" i="2"/>
  <c r="L32" i="2"/>
  <c r="M32" i="2"/>
  <c r="AP39" i="5"/>
  <c r="AP37" i="5"/>
  <c r="AP39" i="6"/>
  <c r="AP37" i="6"/>
  <c r="AP39" i="7"/>
  <c r="AP37" i="7"/>
  <c r="AP39" i="2"/>
  <c r="AP37" i="2"/>
  <c r="C58" i="1" l="1"/>
  <c r="H34" i="6" l="1"/>
  <c r="AO34" i="6" s="1"/>
  <c r="H34" i="7"/>
  <c r="AO34" i="7" s="1"/>
  <c r="H34" i="5"/>
  <c r="AO34" i="5" s="1"/>
  <c r="H34" i="2"/>
  <c r="AO34" i="2" s="1"/>
  <c r="G95" i="1" l="1"/>
  <c r="AM49" i="1" l="1"/>
  <c r="N67" i="1"/>
  <c r="O50" i="2"/>
  <c r="N50" i="2"/>
  <c r="M50" i="2"/>
  <c r="L50" i="2"/>
  <c r="K50" i="2"/>
  <c r="J50" i="2"/>
  <c r="I50" i="2"/>
  <c r="O49" i="2"/>
  <c r="N49" i="2"/>
  <c r="M49" i="2"/>
  <c r="L49" i="2"/>
  <c r="K49" i="2"/>
  <c r="J49" i="2"/>
  <c r="I49" i="2"/>
  <c r="AP50" i="6"/>
  <c r="AO50" i="6"/>
  <c r="AN50" i="6"/>
  <c r="AP50" i="7"/>
  <c r="AO50" i="7"/>
  <c r="AN50" i="7"/>
  <c r="AP50" i="5"/>
  <c r="AO50" i="5"/>
  <c r="AN50" i="5"/>
  <c r="O50" i="6"/>
  <c r="N50" i="6"/>
  <c r="M50" i="6"/>
  <c r="L50" i="6"/>
  <c r="K50" i="6"/>
  <c r="J50" i="6"/>
  <c r="O49" i="6"/>
  <c r="N49" i="6"/>
  <c r="M49" i="6"/>
  <c r="L49" i="6"/>
  <c r="K49" i="6"/>
  <c r="J49" i="6"/>
  <c r="O50" i="7"/>
  <c r="N50" i="7"/>
  <c r="M50" i="7"/>
  <c r="L50" i="7"/>
  <c r="K50" i="7"/>
  <c r="J50" i="7"/>
  <c r="O49" i="7"/>
  <c r="N49" i="7"/>
  <c r="M49" i="7"/>
  <c r="L49" i="7"/>
  <c r="K49" i="7"/>
  <c r="J49" i="7"/>
  <c r="O50" i="5"/>
  <c r="N50" i="5"/>
  <c r="M50" i="5"/>
  <c r="L50" i="5"/>
  <c r="K50" i="5"/>
  <c r="J50" i="5"/>
  <c r="O49" i="5"/>
  <c r="N49" i="5"/>
  <c r="M49" i="5"/>
  <c r="L49" i="5"/>
  <c r="K49" i="5"/>
  <c r="J49" i="5"/>
  <c r="I50" i="6"/>
  <c r="I50" i="7"/>
  <c r="I50" i="5"/>
  <c r="I49" i="6"/>
  <c r="I49" i="7"/>
  <c r="I49" i="5"/>
  <c r="AO59" i="6"/>
  <c r="AN59" i="6"/>
  <c r="O59" i="6"/>
  <c r="N59" i="6"/>
  <c r="M59" i="6"/>
  <c r="L59" i="6"/>
  <c r="K59" i="6"/>
  <c r="J59" i="6"/>
  <c r="I59" i="6"/>
  <c r="AO59" i="7"/>
  <c r="AN59" i="7"/>
  <c r="O59" i="7"/>
  <c r="N59" i="7"/>
  <c r="M59" i="7"/>
  <c r="L59" i="7"/>
  <c r="K59" i="7"/>
  <c r="J59" i="7"/>
  <c r="I59" i="7"/>
  <c r="AO59" i="5"/>
  <c r="AN59" i="5"/>
  <c r="O59" i="5"/>
  <c r="N59" i="5"/>
  <c r="M59" i="5"/>
  <c r="L59" i="5"/>
  <c r="K59" i="5"/>
  <c r="J59" i="5"/>
  <c r="I59" i="5"/>
  <c r="AN58" i="6"/>
  <c r="O58" i="6"/>
  <c r="N58" i="6"/>
  <c r="M58" i="6"/>
  <c r="L58" i="6"/>
  <c r="K58" i="6"/>
  <c r="J58" i="6"/>
  <c r="I58" i="6"/>
  <c r="AN58" i="7"/>
  <c r="O58" i="7"/>
  <c r="N58" i="7"/>
  <c r="M58" i="7"/>
  <c r="L58" i="7"/>
  <c r="K58" i="7"/>
  <c r="J58" i="7"/>
  <c r="I58" i="7"/>
  <c r="AN58" i="5"/>
  <c r="O58" i="5"/>
  <c r="N58" i="5"/>
  <c r="M58" i="5"/>
  <c r="L58" i="5"/>
  <c r="K58" i="5"/>
  <c r="J58" i="5"/>
  <c r="I58" i="5"/>
  <c r="AN58" i="2"/>
  <c r="AO50" i="2"/>
  <c r="AN50" i="2"/>
  <c r="AN49" i="7"/>
  <c r="AN49" i="6"/>
  <c r="AN49" i="5"/>
  <c r="AP38" i="2"/>
  <c r="AP38" i="5"/>
  <c r="AP40" i="5" s="1"/>
  <c r="AQ31" i="5" s="1"/>
  <c r="AP38" i="6"/>
  <c r="AP40" i="6" s="1"/>
  <c r="AQ31" i="6" s="1"/>
  <c r="AP38" i="7"/>
  <c r="AP40" i="7" l="1"/>
  <c r="AP40" i="2"/>
  <c r="AN83" i="1"/>
  <c r="AP50" i="2"/>
  <c r="AQ31" i="7" l="1"/>
  <c r="AQ31" i="2"/>
  <c r="AN29" i="6"/>
  <c r="O29" i="6"/>
  <c r="N29" i="6"/>
  <c r="M29" i="6"/>
  <c r="L29" i="6"/>
  <c r="K29" i="6"/>
  <c r="J29" i="6"/>
  <c r="I29" i="6"/>
  <c r="AN29" i="7"/>
  <c r="O29" i="7"/>
  <c r="N29" i="7"/>
  <c r="M29" i="7"/>
  <c r="L29" i="7"/>
  <c r="K29" i="7"/>
  <c r="J29" i="7"/>
  <c r="I29" i="7"/>
  <c r="AN29" i="5"/>
  <c r="O29" i="5"/>
  <c r="N29" i="5"/>
  <c r="M29" i="5"/>
  <c r="L29" i="5"/>
  <c r="K29" i="5"/>
  <c r="J29" i="5"/>
  <c r="I29" i="5"/>
  <c r="AN29" i="2"/>
  <c r="O29" i="2"/>
  <c r="N29" i="2"/>
  <c r="M29" i="2"/>
  <c r="L29" i="2"/>
  <c r="K29" i="2"/>
  <c r="J29" i="2"/>
  <c r="I29" i="2"/>
  <c r="AN28" i="7"/>
  <c r="O28" i="7"/>
  <c r="N28" i="7"/>
  <c r="M28" i="7"/>
  <c r="L28" i="7"/>
  <c r="K28" i="7"/>
  <c r="J28" i="7"/>
  <c r="I28" i="7"/>
  <c r="AN28" i="6"/>
  <c r="O28" i="6"/>
  <c r="N28" i="6"/>
  <c r="M28" i="6"/>
  <c r="L28" i="6"/>
  <c r="K28" i="6"/>
  <c r="J28" i="6"/>
  <c r="I28" i="6"/>
  <c r="AN28" i="2"/>
  <c r="O28" i="2"/>
  <c r="N28" i="2"/>
  <c r="M28" i="2"/>
  <c r="L28" i="2"/>
  <c r="K28" i="2"/>
  <c r="J28" i="2"/>
  <c r="I28" i="2"/>
  <c r="AN28" i="5"/>
  <c r="O28" i="5"/>
  <c r="N28" i="5"/>
  <c r="M28" i="5"/>
  <c r="L28" i="5"/>
  <c r="K28" i="5"/>
  <c r="J28" i="5"/>
  <c r="I28" i="5"/>
  <c r="AO32" i="2"/>
  <c r="AO31" i="6"/>
  <c r="AN31" i="6"/>
  <c r="AO31" i="7"/>
  <c r="AN31" i="7"/>
  <c r="AN31" i="5"/>
  <c r="AN31" i="2"/>
  <c r="D27" i="6"/>
  <c r="H32" i="6" s="1"/>
  <c r="AO32" i="6" s="1"/>
  <c r="D27" i="7"/>
  <c r="H32" i="7" s="1"/>
  <c r="AO32" i="7" s="1"/>
  <c r="D27" i="5"/>
  <c r="H32" i="5" s="1"/>
  <c r="AO32" i="5" s="1"/>
  <c r="AQ28" i="5" l="1"/>
  <c r="AQ28" i="7"/>
  <c r="AQ28" i="6"/>
  <c r="AQ28" i="2"/>
  <c r="AO49" i="5"/>
  <c r="AO49" i="6"/>
  <c r="AP49" i="5"/>
  <c r="AP49" i="6"/>
  <c r="AP49" i="7"/>
  <c r="AO49" i="7"/>
  <c r="AP32" i="2"/>
  <c r="O31" i="6"/>
  <c r="N31" i="6"/>
  <c r="M31" i="6"/>
  <c r="L31" i="6"/>
  <c r="K31" i="6"/>
  <c r="J31" i="6"/>
  <c r="I31" i="6"/>
  <c r="J31" i="7"/>
  <c r="I31" i="7"/>
  <c r="O31" i="5"/>
  <c r="N31" i="5"/>
  <c r="M31" i="5"/>
  <c r="L31" i="5"/>
  <c r="K31" i="5"/>
  <c r="J31" i="5"/>
  <c r="I31" i="5"/>
  <c r="N31" i="2"/>
  <c r="M31" i="2"/>
  <c r="L31" i="2"/>
  <c r="K31" i="2"/>
  <c r="J31" i="2"/>
  <c r="I31" i="2"/>
  <c r="O31" i="2"/>
  <c r="AN49" i="2" l="1"/>
  <c r="AO31" i="2"/>
  <c r="AP30" i="6"/>
  <c r="AP31" i="6" s="1"/>
  <c r="AP30" i="7"/>
  <c r="AP31" i="7" s="1"/>
  <c r="AP30" i="5"/>
  <c r="AP31" i="5" s="1"/>
  <c r="AP30" i="2"/>
  <c r="AN59" i="2"/>
  <c r="O59" i="2"/>
  <c r="N59" i="2"/>
  <c r="M59" i="2"/>
  <c r="L59" i="2"/>
  <c r="K59" i="2"/>
  <c r="J59" i="2"/>
  <c r="I59" i="2"/>
  <c r="N58" i="2"/>
  <c r="M58" i="2"/>
  <c r="L58" i="2"/>
  <c r="K58" i="2"/>
  <c r="J58" i="2"/>
  <c r="I58" i="2"/>
  <c r="AP57" i="6"/>
  <c r="AP55" i="6"/>
  <c r="AP54" i="6"/>
  <c r="AP53" i="6"/>
  <c r="AP57" i="7"/>
  <c r="AP55" i="7"/>
  <c r="AP54" i="7"/>
  <c r="AP53" i="7"/>
  <c r="AP57" i="5"/>
  <c r="AP55" i="5"/>
  <c r="AP54" i="5"/>
  <c r="AP53" i="5"/>
  <c r="H77" i="1"/>
  <c r="M74" i="1"/>
  <c r="L74" i="1"/>
  <c r="K74" i="1"/>
  <c r="J74" i="1"/>
  <c r="I74" i="1"/>
  <c r="H74" i="1"/>
  <c r="AP57" i="2"/>
  <c r="AP55" i="2"/>
  <c r="AP54" i="2"/>
  <c r="AP53" i="2"/>
  <c r="AP27" i="6"/>
  <c r="AO27" i="6"/>
  <c r="AP27" i="7"/>
  <c r="AO27" i="7"/>
  <c r="AP27" i="5"/>
  <c r="AO27" i="5"/>
  <c r="AP27" i="2"/>
  <c r="AO27" i="2"/>
  <c r="AQ29" i="7" l="1"/>
  <c r="AQ58" i="7"/>
  <c r="AQ33" i="7"/>
  <c r="AQ33" i="5"/>
  <c r="AQ29" i="5"/>
  <c r="AQ58" i="5"/>
  <c r="AQ29" i="6"/>
  <c r="AQ58" i="6"/>
  <c r="AQ33" i="6"/>
  <c r="AP74" i="1"/>
  <c r="AQ29" i="2"/>
  <c r="AQ58" i="2"/>
  <c r="AO74" i="1"/>
  <c r="AP31" i="2"/>
  <c r="AO28" i="5"/>
  <c r="AO29" i="5"/>
  <c r="AP49" i="2"/>
  <c r="AP58" i="6"/>
  <c r="AP29" i="5"/>
  <c r="AP28" i="5"/>
  <c r="AP29" i="6"/>
  <c r="AP28" i="6"/>
  <c r="AO58" i="5"/>
  <c r="AO29" i="2"/>
  <c r="AO28" i="2"/>
  <c r="AO28" i="7"/>
  <c r="AO29" i="7"/>
  <c r="AP58" i="5"/>
  <c r="AO58" i="7"/>
  <c r="AP28" i="2"/>
  <c r="AP29" i="2"/>
  <c r="AP28" i="7"/>
  <c r="AP29" i="7"/>
  <c r="AO49" i="2"/>
  <c r="AP58" i="7"/>
  <c r="AO58" i="6"/>
  <c r="AO28" i="6"/>
  <c r="AO29" i="6"/>
  <c r="AP58" i="2"/>
  <c r="AO58" i="2"/>
  <c r="AO59" i="2"/>
  <c r="O12" i="7" l="1"/>
  <c r="N12" i="7"/>
  <c r="L12" i="7"/>
  <c r="K12" i="7"/>
  <c r="J12" i="7"/>
  <c r="I12" i="7"/>
  <c r="I18" i="7" s="1"/>
  <c r="O12" i="6"/>
  <c r="N12" i="6"/>
  <c r="L12" i="6"/>
  <c r="L18" i="6" s="1"/>
  <c r="K12" i="6"/>
  <c r="K18" i="6" s="1"/>
  <c r="J12" i="6"/>
  <c r="J18" i="6" s="1"/>
  <c r="I12" i="6"/>
  <c r="I18" i="6" s="1"/>
  <c r="AP11" i="7"/>
  <c r="AP10" i="7"/>
  <c r="AP9" i="7"/>
  <c r="AP6" i="7"/>
  <c r="AP5" i="7"/>
  <c r="AP11" i="6"/>
  <c r="AP10" i="6"/>
  <c r="AP9" i="6"/>
  <c r="AP6" i="6"/>
  <c r="AP5" i="6"/>
  <c r="AP59" i="6" s="1"/>
  <c r="AP6" i="5"/>
  <c r="AP5" i="5"/>
  <c r="O12" i="5"/>
  <c r="N12" i="5"/>
  <c r="L12" i="5"/>
  <c r="L18" i="5" s="1"/>
  <c r="K12" i="5"/>
  <c r="K18" i="5" s="1"/>
  <c r="J12" i="5"/>
  <c r="J18" i="5" s="1"/>
  <c r="I12" i="5"/>
  <c r="I18" i="5" s="1"/>
  <c r="AO12" i="7"/>
  <c r="AN12" i="7"/>
  <c r="AO12" i="6"/>
  <c r="AO18" i="6" s="1"/>
  <c r="AN12" i="6"/>
  <c r="AN18" i="6" s="1"/>
  <c r="AP11" i="5"/>
  <c r="AP10" i="5"/>
  <c r="AP9" i="5"/>
  <c r="AO12" i="5"/>
  <c r="AO18" i="5" s="1"/>
  <c r="AN12" i="5"/>
  <c r="AN18" i="5" l="1"/>
  <c r="K18" i="7"/>
  <c r="J18" i="7"/>
  <c r="L18" i="7"/>
  <c r="O18" i="7"/>
  <c r="R34" i="7"/>
  <c r="N18" i="7"/>
  <c r="Q34" i="7"/>
  <c r="N18" i="6"/>
  <c r="N24" i="6" s="1"/>
  <c r="Q34" i="6"/>
  <c r="O18" i="6"/>
  <c r="O24" i="6" s="1"/>
  <c r="R34" i="6"/>
  <c r="N18" i="5"/>
  <c r="N24" i="5" s="1"/>
  <c r="Q34" i="5"/>
  <c r="O18" i="5"/>
  <c r="O24" i="5" s="1"/>
  <c r="R34" i="5"/>
  <c r="AP8" i="5"/>
  <c r="AP8" i="7"/>
  <c r="AP8" i="6"/>
  <c r="AP12" i="6" s="1"/>
  <c r="AP18" i="6" s="1"/>
  <c r="AN34" i="7"/>
  <c r="AN18" i="7"/>
  <c r="AN24" i="7" s="1"/>
  <c r="AO33" i="7"/>
  <c r="AO18" i="7"/>
  <c r="AO24" i="7" s="1"/>
  <c r="AO33" i="6"/>
  <c r="AN34" i="6"/>
  <c r="AO33" i="5"/>
  <c r="O33" i="6"/>
  <c r="O33" i="5"/>
  <c r="O33" i="7"/>
  <c r="N33" i="5"/>
  <c r="N33" i="7"/>
  <c r="N33" i="6"/>
  <c r="M12" i="5"/>
  <c r="M12" i="7"/>
  <c r="M12" i="6"/>
  <c r="I33" i="7"/>
  <c r="K34" i="7"/>
  <c r="J34" i="7"/>
  <c r="I34" i="7"/>
  <c r="L34" i="7"/>
  <c r="AP34" i="7" s="1"/>
  <c r="J33" i="7"/>
  <c r="K33" i="7"/>
  <c r="L33" i="7"/>
  <c r="J33" i="5"/>
  <c r="K33" i="6"/>
  <c r="K33" i="5"/>
  <c r="L33" i="6"/>
  <c r="AN33" i="5"/>
  <c r="AN34" i="5"/>
  <c r="L33" i="5"/>
  <c r="I33" i="6"/>
  <c r="J34" i="6"/>
  <c r="I34" i="6"/>
  <c r="K34" i="6"/>
  <c r="L34" i="6"/>
  <c r="AP34" i="6" s="1"/>
  <c r="I33" i="5"/>
  <c r="K34" i="5"/>
  <c r="J34" i="5"/>
  <c r="L34" i="5"/>
  <c r="AP34" i="5" s="1"/>
  <c r="I34" i="5"/>
  <c r="J33" i="6"/>
  <c r="AP59" i="7"/>
  <c r="AN24" i="6"/>
  <c r="AN33" i="6"/>
  <c r="AN33" i="7"/>
  <c r="AP59" i="5"/>
  <c r="AN24" i="5"/>
  <c r="J24" i="7"/>
  <c r="K24" i="7"/>
  <c r="O24" i="7"/>
  <c r="I24" i="7"/>
  <c r="L24" i="7"/>
  <c r="K24" i="6"/>
  <c r="I24" i="6"/>
  <c r="AO24" i="6"/>
  <c r="J24" i="6"/>
  <c r="L24" i="6"/>
  <c r="I24" i="5"/>
  <c r="AO24" i="5"/>
  <c r="J24" i="5"/>
  <c r="K24" i="5"/>
  <c r="L24" i="5"/>
  <c r="AP12" i="5" l="1"/>
  <c r="N24" i="7"/>
  <c r="AP12" i="7"/>
  <c r="AP33" i="7" s="1"/>
  <c r="P34" i="6"/>
  <c r="AQ34" i="6" s="1"/>
  <c r="M18" i="6"/>
  <c r="M24" i="6" s="1"/>
  <c r="P34" i="7"/>
  <c r="AQ34" i="7" s="1"/>
  <c r="M18" i="7"/>
  <c r="P34" i="5"/>
  <c r="AQ34" i="5" s="1"/>
  <c r="M18" i="5"/>
  <c r="M24" i="5" s="1"/>
  <c r="AP33" i="5"/>
  <c r="M34" i="5"/>
  <c r="O34" i="5"/>
  <c r="N34" i="5"/>
  <c r="M33" i="6"/>
  <c r="M33" i="7"/>
  <c r="M33" i="5"/>
  <c r="N34" i="7"/>
  <c r="M34" i="7"/>
  <c r="N34" i="6"/>
  <c r="M34" i="6"/>
  <c r="O34" i="6"/>
  <c r="O34" i="7"/>
  <c r="AP24" i="6"/>
  <c r="AP33" i="6"/>
  <c r="AP18" i="5" l="1"/>
  <c r="AP18" i="7"/>
  <c r="AP24" i="7" s="1"/>
  <c r="M24" i="7"/>
  <c r="AP11" i="2"/>
  <c r="AP10" i="2"/>
  <c r="AP9" i="2"/>
  <c r="AP6" i="2"/>
  <c r="AP5" i="2"/>
  <c r="AP24" i="5" l="1"/>
  <c r="AP8" i="2"/>
  <c r="AQ12" i="2"/>
  <c r="AQ18" i="2" s="1"/>
  <c r="AP59" i="2"/>
  <c r="AQ33" i="2" l="1"/>
  <c r="G47" i="1"/>
  <c r="F47" i="1"/>
  <c r="E47" i="1"/>
  <c r="D47" i="1"/>
  <c r="F44" i="1"/>
  <c r="E44" i="1"/>
  <c r="D44" i="1"/>
  <c r="G33" i="1"/>
  <c r="F33" i="1"/>
  <c r="E33" i="1"/>
  <c r="D33" i="1"/>
  <c r="G18" i="1"/>
  <c r="G21" i="1" s="1"/>
  <c r="F18" i="1"/>
  <c r="F21" i="1" s="1"/>
  <c r="E18" i="1"/>
  <c r="E21" i="1" s="1"/>
  <c r="D18" i="1"/>
  <c r="D21" i="1" s="1"/>
  <c r="F23" i="1"/>
  <c r="E23" i="1"/>
  <c r="D23" i="1"/>
  <c r="H23" i="1"/>
  <c r="G23" i="1"/>
  <c r="D58" i="1"/>
  <c r="E58" i="1"/>
  <c r="F58" i="1"/>
  <c r="AQ24" i="2" l="1"/>
  <c r="F78" i="1"/>
  <c r="D45" i="1"/>
  <c r="E78" i="1"/>
  <c r="D78" i="1"/>
  <c r="H70" i="1"/>
  <c r="E45" i="1"/>
  <c r="F45" i="1"/>
  <c r="I48" i="1" l="1"/>
  <c r="H48" i="1"/>
  <c r="J48" i="1"/>
  <c r="N83" i="1" l="1"/>
  <c r="M83" i="1"/>
  <c r="L83" i="1"/>
  <c r="K83" i="1"/>
  <c r="J83" i="1"/>
  <c r="I83" i="1"/>
  <c r="H83" i="1"/>
  <c r="N82" i="1"/>
  <c r="M82" i="1"/>
  <c r="L82" i="1"/>
  <c r="K82" i="1"/>
  <c r="J82" i="1"/>
  <c r="I82" i="1"/>
  <c r="H82" i="1"/>
  <c r="M77" i="1" l="1"/>
  <c r="L77" i="1"/>
  <c r="K77" i="1"/>
  <c r="J77" i="1"/>
  <c r="I77" i="1"/>
  <c r="M75" i="1"/>
  <c r="L75" i="1"/>
  <c r="K75" i="1"/>
  <c r="J75" i="1"/>
  <c r="I75" i="1"/>
  <c r="H75" i="1"/>
  <c r="G44" i="1"/>
  <c r="AO97" i="1"/>
  <c r="AO100" i="1"/>
  <c r="AO98" i="1"/>
  <c r="J46" i="1"/>
  <c r="I46" i="1"/>
  <c r="H46" i="1"/>
  <c r="G58" i="1"/>
  <c r="G57" i="1"/>
  <c r="AN58" i="1" s="1"/>
  <c r="M47" i="1"/>
  <c r="L47" i="1"/>
  <c r="K47" i="1"/>
  <c r="J47" i="1"/>
  <c r="I47" i="1"/>
  <c r="H47" i="1"/>
  <c r="M58" i="1"/>
  <c r="L58" i="1"/>
  <c r="K58" i="1"/>
  <c r="J58" i="1"/>
  <c r="I58" i="1"/>
  <c r="H58" i="1"/>
  <c r="CK74" i="3"/>
  <c r="CJ74" i="3"/>
  <c r="AN99" i="1" s="1"/>
  <c r="CI74" i="3"/>
  <c r="AM99" i="1" s="1"/>
  <c r="CK73" i="3"/>
  <c r="CJ73" i="3"/>
  <c r="CI73" i="3"/>
  <c r="CK72" i="3"/>
  <c r="CJ72" i="3"/>
  <c r="CI72" i="3"/>
  <c r="M99" i="1"/>
  <c r="L99" i="1"/>
  <c r="K99" i="1"/>
  <c r="AO99" i="1" s="1"/>
  <c r="J99" i="1"/>
  <c r="I99" i="1"/>
  <c r="H99" i="1"/>
  <c r="M95" i="1"/>
  <c r="L95" i="1"/>
  <c r="K95" i="1"/>
  <c r="J95" i="1"/>
  <c r="I95" i="1"/>
  <c r="H95" i="1"/>
  <c r="N79" i="1"/>
  <c r="M73" i="1"/>
  <c r="L73" i="1"/>
  <c r="K73" i="1"/>
  <c r="J73" i="1"/>
  <c r="I73" i="1"/>
  <c r="H73" i="1"/>
  <c r="M44" i="1"/>
  <c r="L44" i="1"/>
  <c r="K44" i="1"/>
  <c r="J44" i="1"/>
  <c r="I44" i="1"/>
  <c r="H44" i="1"/>
  <c r="CK86" i="3"/>
  <c r="CJ86" i="3"/>
  <c r="CI86" i="3"/>
  <c r="CH86" i="3"/>
  <c r="CF86" i="3"/>
  <c r="CE86" i="3"/>
  <c r="CD86" i="3"/>
  <c r="CC86" i="3"/>
  <c r="CB86" i="3"/>
  <c r="CA86" i="3"/>
  <c r="BZ86" i="3"/>
  <c r="BY86" i="3"/>
  <c r="BX86" i="3"/>
  <c r="BW86" i="3"/>
  <c r="BV86" i="3"/>
  <c r="BU86" i="3"/>
  <c r="CK85" i="3"/>
  <c r="CJ85" i="3"/>
  <c r="CI85" i="3"/>
  <c r="CH85" i="3"/>
  <c r="CF85" i="3"/>
  <c r="CE85" i="3"/>
  <c r="CD85" i="3"/>
  <c r="CC85" i="3"/>
  <c r="CB85" i="3"/>
  <c r="CA85" i="3"/>
  <c r="BZ85" i="3"/>
  <c r="BY85" i="3"/>
  <c r="BX85" i="3"/>
  <c r="BW85" i="3"/>
  <c r="BV85" i="3"/>
  <c r="BU85" i="3"/>
  <c r="CK84" i="3"/>
  <c r="CJ84" i="3"/>
  <c r="CI84" i="3"/>
  <c r="CH84" i="3"/>
  <c r="CF84" i="3"/>
  <c r="CE84" i="3"/>
  <c r="CD84" i="3"/>
  <c r="CC84" i="3"/>
  <c r="CB84" i="3"/>
  <c r="CA84" i="3"/>
  <c r="BZ84" i="3"/>
  <c r="BY84" i="3"/>
  <c r="BX84" i="3"/>
  <c r="BW84" i="3"/>
  <c r="BV84" i="3"/>
  <c r="BU84" i="3"/>
  <c r="CK80" i="3"/>
  <c r="CJ80" i="3"/>
  <c r="CI80" i="3"/>
  <c r="CH80" i="3"/>
  <c r="CK79" i="3"/>
  <c r="CJ79" i="3"/>
  <c r="CI79" i="3"/>
  <c r="CH79" i="3"/>
  <c r="CG79" i="3"/>
  <c r="CF79" i="3"/>
  <c r="CE79" i="3"/>
  <c r="CD79" i="3"/>
  <c r="CC79" i="3"/>
  <c r="CB79" i="3"/>
  <c r="CA79" i="3"/>
  <c r="BZ79" i="3"/>
  <c r="BY79" i="3"/>
  <c r="BX79" i="3"/>
  <c r="BW79" i="3"/>
  <c r="BV79" i="3"/>
  <c r="BU79" i="3"/>
  <c r="CK76" i="3"/>
  <c r="CJ76" i="3"/>
  <c r="AN95" i="1" s="1"/>
  <c r="CI76" i="3"/>
  <c r="AM95" i="1" s="1"/>
  <c r="CH76" i="3"/>
  <c r="CG76" i="3"/>
  <c r="CF76" i="3"/>
  <c r="CE76" i="3"/>
  <c r="CD76" i="3"/>
  <c r="CC76" i="3"/>
  <c r="CB76" i="3"/>
  <c r="CA76" i="3"/>
  <c r="BZ76" i="3"/>
  <c r="BY76" i="3"/>
  <c r="BX76" i="3"/>
  <c r="BW76" i="3"/>
  <c r="BV76" i="3"/>
  <c r="BU76" i="3"/>
  <c r="CK68" i="3"/>
  <c r="CJ68" i="3"/>
  <c r="CI68" i="3"/>
  <c r="CH68" i="3"/>
  <c r="CG68" i="3"/>
  <c r="CF68" i="3"/>
  <c r="CE68" i="3"/>
  <c r="CD68" i="3"/>
  <c r="CC68" i="3"/>
  <c r="CB68" i="3"/>
  <c r="CA68" i="3"/>
  <c r="BZ68" i="3"/>
  <c r="BY68" i="3"/>
  <c r="BX68" i="3"/>
  <c r="BW68" i="3"/>
  <c r="BV68" i="3"/>
  <c r="BU68"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58" i="3"/>
  <c r="B58"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CK52" i="3"/>
  <c r="CJ52" i="3"/>
  <c r="AN77" i="1" s="1"/>
  <c r="CI52" i="3"/>
  <c r="AM77" i="1" s="1"/>
  <c r="CH52" i="3"/>
  <c r="CG52" i="3"/>
  <c r="CF52" i="3"/>
  <c r="CE52" i="3"/>
  <c r="CD52" i="3"/>
  <c r="CC52" i="3"/>
  <c r="CB52" i="3"/>
  <c r="CA52" i="3"/>
  <c r="BZ52" i="3"/>
  <c r="BY52" i="3"/>
  <c r="BX52" i="3"/>
  <c r="BW52" i="3"/>
  <c r="BV52" i="3"/>
  <c r="BU52" i="3"/>
  <c r="CK51" i="3"/>
  <c r="CJ51" i="3"/>
  <c r="CI51" i="3"/>
  <c r="CH51" i="3"/>
  <c r="CG51" i="3"/>
  <c r="CF51" i="3"/>
  <c r="CE51" i="3"/>
  <c r="CD51" i="3"/>
  <c r="CC51" i="3"/>
  <c r="CK50" i="3"/>
  <c r="CJ50" i="3"/>
  <c r="AN74" i="1" s="1"/>
  <c r="CI50" i="3"/>
  <c r="CH50" i="3"/>
  <c r="CG50" i="3"/>
  <c r="CF50" i="3"/>
  <c r="CK49" i="3"/>
  <c r="CJ49" i="3"/>
  <c r="AN73" i="1" s="1"/>
  <c r="CI49" i="3"/>
  <c r="AM73" i="1" s="1"/>
  <c r="CG49" i="3"/>
  <c r="CF49" i="3"/>
  <c r="CE49" i="3"/>
  <c r="CD49" i="3"/>
  <c r="CC49" i="3"/>
  <c r="CB49" i="3"/>
  <c r="CA49" i="3"/>
  <c r="BZ49" i="3"/>
  <c r="BY49" i="3"/>
  <c r="BX49" i="3"/>
  <c r="BW49" i="3"/>
  <c r="BV49" i="3"/>
  <c r="BC49" i="3"/>
  <c r="CH49" i="3" s="1"/>
  <c r="E49" i="3"/>
  <c r="D49" i="3"/>
  <c r="C49" i="3"/>
  <c r="B49"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46"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BS42" i="3"/>
  <c r="BS44" i="3" s="1"/>
  <c r="BR42" i="3"/>
  <c r="BR44" i="3" s="1"/>
  <c r="BQ42" i="3"/>
  <c r="BQ44" i="3" s="1"/>
  <c r="BP42" i="3"/>
  <c r="BP44" i="3" s="1"/>
  <c r="BO42" i="3"/>
  <c r="BO44" i="3" s="1"/>
  <c r="BN42" i="3"/>
  <c r="BN44" i="3" s="1"/>
  <c r="BM42" i="3"/>
  <c r="BM44" i="3" s="1"/>
  <c r="BL42" i="3"/>
  <c r="BL44" i="3" s="1"/>
  <c r="BK42" i="3"/>
  <c r="BK44" i="3" s="1"/>
  <c r="BJ42" i="3"/>
  <c r="BJ44" i="3" s="1"/>
  <c r="BI42" i="3"/>
  <c r="BI44" i="3" s="1"/>
  <c r="BH42" i="3"/>
  <c r="BH44" i="3" s="1"/>
  <c r="BG42" i="3"/>
  <c r="BG44" i="3" s="1"/>
  <c r="BF42" i="3"/>
  <c r="BF44" i="3" s="1"/>
  <c r="BE42" i="3"/>
  <c r="BE44" i="3" s="1"/>
  <c r="BD42" i="3"/>
  <c r="BD44" i="3" s="1"/>
  <c r="BC42" i="3"/>
  <c r="BC44" i="3" s="1"/>
  <c r="BB42" i="3"/>
  <c r="BB44" i="3" s="1"/>
  <c r="BA42" i="3"/>
  <c r="BA44" i="3" s="1"/>
  <c r="AZ42" i="3"/>
  <c r="AZ44" i="3" s="1"/>
  <c r="AY42" i="3"/>
  <c r="AY44" i="3" s="1"/>
  <c r="AX42" i="3"/>
  <c r="AX44" i="3" s="1"/>
  <c r="AW42" i="3"/>
  <c r="AW44" i="3" s="1"/>
  <c r="AV42" i="3"/>
  <c r="AV44" i="3" s="1"/>
  <c r="AU42" i="3"/>
  <c r="AU44" i="3" s="1"/>
  <c r="AT42" i="3"/>
  <c r="AT44" i="3" s="1"/>
  <c r="AS42" i="3"/>
  <c r="AS44" i="3" s="1"/>
  <c r="AR42" i="3"/>
  <c r="AR44" i="3" s="1"/>
  <c r="AQ42" i="3"/>
  <c r="AQ44" i="3" s="1"/>
  <c r="AP42" i="3"/>
  <c r="AP44" i="3" s="1"/>
  <c r="AO42" i="3"/>
  <c r="AO44" i="3" s="1"/>
  <c r="AN42" i="3"/>
  <c r="AN44" i="3" s="1"/>
  <c r="AM42" i="3"/>
  <c r="AM44" i="3" s="1"/>
  <c r="AL42" i="3"/>
  <c r="AL44" i="3" s="1"/>
  <c r="AK42" i="3"/>
  <c r="AK44" i="3" s="1"/>
  <c r="AJ42" i="3"/>
  <c r="AJ44" i="3" s="1"/>
  <c r="AI42" i="3"/>
  <c r="AI44" i="3" s="1"/>
  <c r="AH42" i="3"/>
  <c r="AH44" i="3" s="1"/>
  <c r="AG42" i="3"/>
  <c r="AG44" i="3" s="1"/>
  <c r="AF42" i="3"/>
  <c r="AF44" i="3" s="1"/>
  <c r="AE42" i="3"/>
  <c r="AE44" i="3" s="1"/>
  <c r="AD42" i="3"/>
  <c r="AD44" i="3" s="1"/>
  <c r="AC42" i="3"/>
  <c r="AC44" i="3" s="1"/>
  <c r="AB42" i="3"/>
  <c r="AB44" i="3" s="1"/>
  <c r="AA42" i="3"/>
  <c r="AA44" i="3" s="1"/>
  <c r="Z42" i="3"/>
  <c r="Z44" i="3" s="1"/>
  <c r="Y42" i="3"/>
  <c r="Y44" i="3" s="1"/>
  <c r="X42" i="3"/>
  <c r="X44" i="3" s="1"/>
  <c r="W42" i="3"/>
  <c r="W44" i="3" s="1"/>
  <c r="V42" i="3"/>
  <c r="V44" i="3" s="1"/>
  <c r="U42" i="3"/>
  <c r="U44" i="3" s="1"/>
  <c r="T42" i="3"/>
  <c r="T44" i="3" s="1"/>
  <c r="S42" i="3"/>
  <c r="S44" i="3" s="1"/>
  <c r="R42" i="3"/>
  <c r="R44" i="3" s="1"/>
  <c r="Q42" i="3"/>
  <c r="Q44" i="3" s="1"/>
  <c r="P42" i="3"/>
  <c r="P44" i="3" s="1"/>
  <c r="O42" i="3"/>
  <c r="O44" i="3" s="1"/>
  <c r="N42" i="3"/>
  <c r="N44" i="3" s="1"/>
  <c r="M42" i="3"/>
  <c r="M44" i="3" s="1"/>
  <c r="L42" i="3"/>
  <c r="L44" i="3" s="1"/>
  <c r="K42" i="3"/>
  <c r="K44" i="3" s="1"/>
  <c r="J42" i="3"/>
  <c r="J44" i="3" s="1"/>
  <c r="I42" i="3"/>
  <c r="I44" i="3" s="1"/>
  <c r="H42" i="3"/>
  <c r="H44" i="3" s="1"/>
  <c r="G42" i="3"/>
  <c r="G44" i="3" s="1"/>
  <c r="F42" i="3"/>
  <c r="F44" i="3" s="1"/>
  <c r="E42" i="3"/>
  <c r="E44" i="3" s="1"/>
  <c r="D42" i="3"/>
  <c r="D44" i="3" s="1"/>
  <c r="C42" i="3"/>
  <c r="C44" i="3" s="1"/>
  <c r="B42" i="3"/>
  <c r="B44" i="3" s="1"/>
  <c r="CK41" i="3"/>
  <c r="CJ41" i="3"/>
  <c r="CI41" i="3"/>
  <c r="CH41" i="3"/>
  <c r="CG41" i="3"/>
  <c r="CF41" i="3"/>
  <c r="CE41" i="3"/>
  <c r="CD41" i="3"/>
  <c r="CC41" i="3"/>
  <c r="CB41" i="3"/>
  <c r="CA41" i="3"/>
  <c r="BZ41" i="3"/>
  <c r="BY41" i="3"/>
  <c r="BX41" i="3"/>
  <c r="BW41" i="3"/>
  <c r="BV41" i="3"/>
  <c r="BU41" i="3"/>
  <c r="CK40" i="3"/>
  <c r="CJ40" i="3"/>
  <c r="CI40" i="3"/>
  <c r="AM58" i="1" s="1"/>
  <c r="CH40" i="3"/>
  <c r="CG40" i="3"/>
  <c r="CF40" i="3"/>
  <c r="CE40" i="3"/>
  <c r="CD40" i="3"/>
  <c r="CC40" i="3"/>
  <c r="CB40" i="3"/>
  <c r="CA40" i="3"/>
  <c r="BZ40" i="3"/>
  <c r="BY40" i="3"/>
  <c r="BX40" i="3"/>
  <c r="BW40" i="3"/>
  <c r="BV40" i="3"/>
  <c r="BU40" i="3"/>
  <c r="CH38" i="3"/>
  <c r="CG38" i="3"/>
  <c r="CF38" i="3"/>
  <c r="CE38" i="3"/>
  <c r="CD38" i="3"/>
  <c r="CC38" i="3"/>
  <c r="CB38" i="3"/>
  <c r="CA38" i="3"/>
  <c r="BS38" i="3"/>
  <c r="BR38" i="3"/>
  <c r="BQ38" i="3"/>
  <c r="CK38" i="3" s="1"/>
  <c r="BP38" i="3"/>
  <c r="BO38" i="3"/>
  <c r="BN38" i="3"/>
  <c r="BM38" i="3"/>
  <c r="CJ38" i="3" s="1"/>
  <c r="BL38" i="3"/>
  <c r="BK38" i="3"/>
  <c r="BJ38" i="3"/>
  <c r="BI38" i="3"/>
  <c r="CI38" i="3" s="1"/>
  <c r="BH38" i="3"/>
  <c r="BG38" i="3"/>
  <c r="BF38" i="3"/>
  <c r="AA38" i="3"/>
  <c r="Y38" i="3"/>
  <c r="BZ38" i="3" s="1"/>
  <c r="W38" i="3"/>
  <c r="U38" i="3"/>
  <c r="BY38" i="3" s="1"/>
  <c r="T38" i="3"/>
  <c r="S38" i="3"/>
  <c r="R38" i="3"/>
  <c r="Q38" i="3"/>
  <c r="BX38" i="3" s="1"/>
  <c r="P38" i="3"/>
  <c r="O38" i="3"/>
  <c r="N38" i="3"/>
  <c r="M38" i="3"/>
  <c r="BW38" i="3" s="1"/>
  <c r="L38" i="3"/>
  <c r="K38" i="3"/>
  <c r="J38" i="3"/>
  <c r="I38" i="3"/>
  <c r="BV38" i="3" s="1"/>
  <c r="H38" i="3"/>
  <c r="G38" i="3"/>
  <c r="F38" i="3"/>
  <c r="E38" i="3"/>
  <c r="BU38" i="3" s="1"/>
  <c r="D38" i="3"/>
  <c r="C38" i="3"/>
  <c r="B38" i="3"/>
  <c r="CK37" i="3"/>
  <c r="CJ37" i="3"/>
  <c r="CI37" i="3"/>
  <c r="CH37" i="3"/>
  <c r="CG37" i="3"/>
  <c r="CF37" i="3"/>
  <c r="CE37" i="3"/>
  <c r="CD37" i="3"/>
  <c r="CC37" i="3"/>
  <c r="CB37" i="3"/>
  <c r="CA37" i="3"/>
  <c r="BZ37" i="3"/>
  <c r="BY37" i="3"/>
  <c r="BX37" i="3"/>
  <c r="BW37" i="3"/>
  <c r="BV37" i="3"/>
  <c r="BU37" i="3"/>
  <c r="CK36" i="3"/>
  <c r="CJ36" i="3"/>
  <c r="CI36" i="3"/>
  <c r="CH36" i="3"/>
  <c r="CG36" i="3"/>
  <c r="CF36" i="3"/>
  <c r="CE36" i="3"/>
  <c r="CD36" i="3"/>
  <c r="CC36" i="3"/>
  <c r="CB36" i="3"/>
  <c r="CA36" i="3"/>
  <c r="BZ36" i="3"/>
  <c r="BY36" i="3"/>
  <c r="BX36" i="3"/>
  <c r="BW36" i="3"/>
  <c r="BV36" i="3"/>
  <c r="BU36" i="3"/>
  <c r="CI35" i="3"/>
  <c r="CH35" i="3"/>
  <c r="CG35" i="3"/>
  <c r="CF35" i="3"/>
  <c r="CE35" i="3"/>
  <c r="CD35" i="3"/>
  <c r="CC35" i="3"/>
  <c r="CB35" i="3"/>
  <c r="CA35" i="3"/>
  <c r="BZ35" i="3"/>
  <c r="BY35" i="3"/>
  <c r="BX35" i="3"/>
  <c r="BW35" i="3"/>
  <c r="BV35" i="3"/>
  <c r="BU35" i="3"/>
  <c r="BS35" i="3"/>
  <c r="BR35" i="3"/>
  <c r="BQ35" i="3"/>
  <c r="CK35" i="3" s="1"/>
  <c r="BP35" i="3"/>
  <c r="BO35" i="3"/>
  <c r="BN35" i="3"/>
  <c r="BM35" i="3"/>
  <c r="CJ35" i="3" s="1"/>
  <c r="CK34" i="3"/>
  <c r="CJ34" i="3"/>
  <c r="CI34" i="3"/>
  <c r="CH34" i="3"/>
  <c r="CG34" i="3"/>
  <c r="CF34" i="3"/>
  <c r="CE34" i="3"/>
  <c r="CD34" i="3"/>
  <c r="CC34" i="3"/>
  <c r="CB34" i="3"/>
  <c r="CA34" i="3"/>
  <c r="BZ34" i="3"/>
  <c r="BY34" i="3"/>
  <c r="BX34" i="3"/>
  <c r="BW34" i="3"/>
  <c r="BV34" i="3"/>
  <c r="BU34" i="3"/>
  <c r="CK33" i="3"/>
  <c r="CJ33" i="3"/>
  <c r="CI33" i="3"/>
  <c r="CH33" i="3"/>
  <c r="CG33" i="3"/>
  <c r="CF33" i="3"/>
  <c r="CE33" i="3"/>
  <c r="CD33" i="3"/>
  <c r="CC33" i="3"/>
  <c r="CK32" i="3"/>
  <c r="CJ32" i="3"/>
  <c r="CI32" i="3"/>
  <c r="CH32" i="3"/>
  <c r="CG32" i="3"/>
  <c r="CF32" i="3"/>
  <c r="CE32" i="3"/>
  <c r="CD32" i="3"/>
  <c r="CC32" i="3"/>
  <c r="CB32" i="3"/>
  <c r="CA32" i="3"/>
  <c r="BZ32" i="3"/>
  <c r="BY32" i="3"/>
  <c r="BX32" i="3"/>
  <c r="BW32" i="3"/>
  <c r="BV32" i="3"/>
  <c r="BU32" i="3"/>
  <c r="CK31" i="3"/>
  <c r="AO44" i="1" s="1"/>
  <c r="CJ31" i="3"/>
  <c r="AN44" i="1" s="1"/>
  <c r="CI31" i="3"/>
  <c r="AM44" i="1" s="1"/>
  <c r="CH31" i="3"/>
  <c r="CG31" i="3"/>
  <c r="CF31" i="3"/>
  <c r="CE31" i="3"/>
  <c r="CD31" i="3"/>
  <c r="CC31" i="3"/>
  <c r="CB31" i="3"/>
  <c r="CA31" i="3"/>
  <c r="BZ31" i="3"/>
  <c r="BY31" i="3"/>
  <c r="BX31" i="3"/>
  <c r="BW31" i="3"/>
  <c r="BV31" i="3"/>
  <c r="BU31" i="3"/>
  <c r="CK26" i="3"/>
  <c r="CJ26" i="3"/>
  <c r="CI26" i="3"/>
  <c r="CH26" i="3"/>
  <c r="CG26" i="3"/>
  <c r="CF26" i="3"/>
  <c r="CE26" i="3"/>
  <c r="CD26" i="3"/>
  <c r="CC26" i="3"/>
  <c r="CB26" i="3"/>
  <c r="CA26" i="3"/>
  <c r="BZ26" i="3"/>
  <c r="BY26" i="3"/>
  <c r="BX26" i="3"/>
  <c r="BV26" i="3"/>
  <c r="M26" i="3"/>
  <c r="BW26" i="3" s="1"/>
  <c r="E26" i="3"/>
  <c r="BS22" i="3"/>
  <c r="BR22" i="3"/>
  <c r="BQ22" i="3"/>
  <c r="BP22" i="3"/>
  <c r="BO22" i="3"/>
  <c r="BN22" i="3"/>
  <c r="BM22" i="3"/>
  <c r="BL22" i="3"/>
  <c r="BK22" i="3"/>
  <c r="BJ22" i="3"/>
  <c r="BI22" i="3"/>
  <c r="BH22" i="3"/>
  <c r="BG22" i="3"/>
  <c r="BF22" i="3"/>
  <c r="BE22" i="3"/>
  <c r="BE62" i="3" s="1"/>
  <c r="BD22" i="3"/>
  <c r="BD62" i="3" s="1"/>
  <c r="BC22" i="3"/>
  <c r="BC62" i="3" s="1"/>
  <c r="BB22" i="3"/>
  <c r="BB62" i="3" s="1"/>
  <c r="BA22" i="3"/>
  <c r="BA62" i="3" s="1"/>
  <c r="AZ22" i="3"/>
  <c r="AZ62" i="3" s="1"/>
  <c r="AY22" i="3"/>
  <c r="AY62" i="3" s="1"/>
  <c r="AX22" i="3"/>
  <c r="AX62" i="3" s="1"/>
  <c r="AW22" i="3"/>
  <c r="AW62" i="3" s="1"/>
  <c r="AV22" i="3"/>
  <c r="AV62" i="3" s="1"/>
  <c r="AU22" i="3"/>
  <c r="AU62" i="3" s="1"/>
  <c r="AT22" i="3"/>
  <c r="AT62" i="3" s="1"/>
  <c r="AS22" i="3"/>
  <c r="AS62" i="3" s="1"/>
  <c r="AR22" i="3"/>
  <c r="AR62" i="3" s="1"/>
  <c r="AQ22" i="3"/>
  <c r="AQ62" i="3" s="1"/>
  <c r="AP22" i="3"/>
  <c r="AP62" i="3" s="1"/>
  <c r="AO22" i="3"/>
  <c r="AO62" i="3" s="1"/>
  <c r="AN22" i="3"/>
  <c r="AN62" i="3" s="1"/>
  <c r="AM22" i="3"/>
  <c r="AM62" i="3" s="1"/>
  <c r="AL22" i="3"/>
  <c r="AL62" i="3" s="1"/>
  <c r="AK22" i="3"/>
  <c r="AK62" i="3" s="1"/>
  <c r="AJ22" i="3"/>
  <c r="AJ62" i="3" s="1"/>
  <c r="AI22" i="3"/>
  <c r="AI62" i="3" s="1"/>
  <c r="AH22" i="3"/>
  <c r="AH62" i="3" s="1"/>
  <c r="AG22" i="3"/>
  <c r="AG62" i="3" s="1"/>
  <c r="AF22" i="3"/>
  <c r="AF62" i="3" s="1"/>
  <c r="AE22" i="3"/>
  <c r="AE62" i="3" s="1"/>
  <c r="AD22" i="3"/>
  <c r="AD62" i="3" s="1"/>
  <c r="AC22" i="3"/>
  <c r="AC62" i="3" s="1"/>
  <c r="AB22" i="3"/>
  <c r="AB62" i="3" s="1"/>
  <c r="AA22" i="3"/>
  <c r="AA62" i="3" s="1"/>
  <c r="Z22" i="3"/>
  <c r="Z62" i="3" s="1"/>
  <c r="Y22" i="3"/>
  <c r="Y62" i="3" s="1"/>
  <c r="X22" i="3"/>
  <c r="X62" i="3" s="1"/>
  <c r="W22" i="3"/>
  <c r="W62" i="3" s="1"/>
  <c r="V22" i="3"/>
  <c r="V62" i="3" s="1"/>
  <c r="U22" i="3"/>
  <c r="U62" i="3" s="1"/>
  <c r="T22" i="3"/>
  <c r="T62" i="3" s="1"/>
  <c r="S22" i="3"/>
  <c r="S62" i="3" s="1"/>
  <c r="R22" i="3"/>
  <c r="R62" i="3" s="1"/>
  <c r="Q22" i="3"/>
  <c r="Q62" i="3" s="1"/>
  <c r="P22" i="3"/>
  <c r="P62" i="3" s="1"/>
  <c r="O22" i="3"/>
  <c r="O62" i="3" s="1"/>
  <c r="N22" i="3"/>
  <c r="N62" i="3" s="1"/>
  <c r="M22" i="3"/>
  <c r="M62" i="3" s="1"/>
  <c r="L22" i="3"/>
  <c r="L62" i="3" s="1"/>
  <c r="K22" i="3"/>
  <c r="K62" i="3" s="1"/>
  <c r="J22" i="3"/>
  <c r="J62" i="3" s="1"/>
  <c r="I22" i="3"/>
  <c r="I62" i="3" s="1"/>
  <c r="H22" i="3"/>
  <c r="H62" i="3" s="1"/>
  <c r="G22" i="3"/>
  <c r="G62" i="3" s="1"/>
  <c r="F22" i="3"/>
  <c r="F62" i="3" s="1"/>
  <c r="E22" i="3"/>
  <c r="D22" i="3"/>
  <c r="D62" i="3" s="1"/>
  <c r="C22" i="3"/>
  <c r="C62" i="3" s="1"/>
  <c r="B22" i="3"/>
  <c r="B62" i="3" s="1"/>
  <c r="CK21" i="3"/>
  <c r="CJ21" i="3"/>
  <c r="CI21" i="3"/>
  <c r="CH21" i="3"/>
  <c r="CG21" i="3"/>
  <c r="CF21" i="3"/>
  <c r="CE21" i="3"/>
  <c r="CD21" i="3"/>
  <c r="CC21" i="3"/>
  <c r="CB21" i="3"/>
  <c r="CA21" i="3"/>
  <c r="BZ21" i="3"/>
  <c r="BY21" i="3"/>
  <c r="BX21" i="3"/>
  <c r="BW21" i="3"/>
  <c r="BV21" i="3"/>
  <c r="BU21" i="3"/>
  <c r="CK20" i="3"/>
  <c r="CJ20" i="3"/>
  <c r="CI20" i="3"/>
  <c r="CH20" i="3"/>
  <c r="CG20" i="3"/>
  <c r="CF20" i="3"/>
  <c r="CE20" i="3"/>
  <c r="CD20" i="3"/>
  <c r="CC20" i="3"/>
  <c r="CB20" i="3"/>
  <c r="CA20" i="3"/>
  <c r="BZ20" i="3"/>
  <c r="BY20" i="3"/>
  <c r="BX20" i="3"/>
  <c r="BW20" i="3"/>
  <c r="BV20" i="3"/>
  <c r="BU20" i="3"/>
  <c r="CK19" i="3"/>
  <c r="CJ19" i="3"/>
  <c r="CI19" i="3"/>
  <c r="CH19" i="3"/>
  <c r="CG19" i="3"/>
  <c r="CF19" i="3"/>
  <c r="CE19" i="3"/>
  <c r="CD19" i="3"/>
  <c r="CC19" i="3"/>
  <c r="CB19" i="3"/>
  <c r="CA19" i="3"/>
  <c r="BZ19" i="3"/>
  <c r="BY19" i="3"/>
  <c r="BX19" i="3"/>
  <c r="BW19" i="3"/>
  <c r="BV19" i="3"/>
  <c r="BU19" i="3"/>
  <c r="CK18" i="3"/>
  <c r="CJ18" i="3"/>
  <c r="CI18" i="3"/>
  <c r="CH18" i="3"/>
  <c r="CG18" i="3"/>
  <c r="CF18" i="3"/>
  <c r="CE18" i="3"/>
  <c r="CD18" i="3"/>
  <c r="CC18" i="3"/>
  <c r="CB18" i="3"/>
  <c r="CA18" i="3"/>
  <c r="BZ18" i="3"/>
  <c r="BY18" i="3"/>
  <c r="BX18" i="3"/>
  <c r="BW18" i="3"/>
  <c r="BV18" i="3"/>
  <c r="BU18" i="3"/>
  <c r="CK15" i="3"/>
  <c r="CJ15" i="3"/>
  <c r="CI15" i="3"/>
  <c r="CH15" i="3"/>
  <c r="CG15" i="3"/>
  <c r="CF15" i="3"/>
  <c r="CE15" i="3"/>
  <c r="CD15" i="3"/>
  <c r="CC15" i="3"/>
  <c r="CB15" i="3"/>
  <c r="CA15" i="3"/>
  <c r="BZ15" i="3"/>
  <c r="BY15" i="3"/>
  <c r="BX15" i="3"/>
  <c r="BW15" i="3"/>
  <c r="BV15" i="3"/>
  <c r="BU15" i="3"/>
  <c r="CK14" i="3"/>
  <c r="CJ14" i="3"/>
  <c r="CI14" i="3"/>
  <c r="CH14" i="3"/>
  <c r="CG14" i="3"/>
  <c r="CF14" i="3"/>
  <c r="CE14" i="3"/>
  <c r="CD14" i="3"/>
  <c r="CC14" i="3"/>
  <c r="CB14" i="3"/>
  <c r="CA14" i="3"/>
  <c r="BZ14" i="3"/>
  <c r="BY14" i="3"/>
  <c r="BX14" i="3"/>
  <c r="BW14" i="3"/>
  <c r="BV14" i="3"/>
  <c r="BU14" i="3"/>
  <c r="BS13" i="3"/>
  <c r="BR13" i="3"/>
  <c r="BR59" i="3" s="1"/>
  <c r="BQ13" i="3"/>
  <c r="BQ59" i="3" s="1"/>
  <c r="BP13" i="3"/>
  <c r="BO13" i="3"/>
  <c r="BN13" i="3"/>
  <c r="BM13" i="3"/>
  <c r="BL13" i="3"/>
  <c r="BK13" i="3"/>
  <c r="BJ13" i="3"/>
  <c r="BI13" i="3"/>
  <c r="BH13" i="3"/>
  <c r="BG13" i="3"/>
  <c r="BF13" i="3"/>
  <c r="BE13" i="3"/>
  <c r="BD13" i="3"/>
  <c r="BC13" i="3"/>
  <c r="BC59" i="3" s="1"/>
  <c r="BB13" i="3"/>
  <c r="BA13" i="3"/>
  <c r="BA59" i="3" s="1"/>
  <c r="AZ13" i="3"/>
  <c r="AY13" i="3"/>
  <c r="AX13" i="3"/>
  <c r="AW13" i="3"/>
  <c r="AV13" i="3"/>
  <c r="AU13" i="3"/>
  <c r="AT13" i="3"/>
  <c r="AT59" i="3" s="1"/>
  <c r="AS13" i="3"/>
  <c r="AR13" i="3"/>
  <c r="AQ13" i="3"/>
  <c r="AQ59" i="3" s="1"/>
  <c r="AP13" i="3"/>
  <c r="AO13" i="3"/>
  <c r="AN13" i="3"/>
  <c r="AM13" i="3"/>
  <c r="AL13" i="3"/>
  <c r="AL59" i="3" s="1"/>
  <c r="AK13" i="3"/>
  <c r="AJ13" i="3"/>
  <c r="AI13" i="3"/>
  <c r="AH13" i="3"/>
  <c r="AG13" i="3"/>
  <c r="AF13" i="3"/>
  <c r="AE13" i="3"/>
  <c r="AD13" i="3"/>
  <c r="AD59" i="3" s="1"/>
  <c r="AC13" i="3"/>
  <c r="AB13" i="3"/>
  <c r="AA13" i="3"/>
  <c r="AA59" i="3" s="1"/>
  <c r="Z13" i="3"/>
  <c r="Y13" i="3"/>
  <c r="X13" i="3"/>
  <c r="W13" i="3"/>
  <c r="V13" i="3"/>
  <c r="U13" i="3"/>
  <c r="T13" i="3"/>
  <c r="S13" i="3"/>
  <c r="R13" i="3"/>
  <c r="Q13" i="3"/>
  <c r="P13" i="3"/>
  <c r="P59" i="3" s="1"/>
  <c r="O13" i="3"/>
  <c r="N13" i="3"/>
  <c r="N59" i="3" s="1"/>
  <c r="M13" i="3"/>
  <c r="L13" i="3"/>
  <c r="K13" i="3"/>
  <c r="J13" i="3"/>
  <c r="I13" i="3"/>
  <c r="H13" i="3"/>
  <c r="G13" i="3"/>
  <c r="F13" i="3"/>
  <c r="E13" i="3"/>
  <c r="E59" i="3" s="1"/>
  <c r="D13" i="3"/>
  <c r="C13" i="3"/>
  <c r="C59" i="3" s="1"/>
  <c r="B13" i="3"/>
  <c r="CK12" i="3"/>
  <c r="CJ12" i="3"/>
  <c r="CI12" i="3"/>
  <c r="CH12" i="3"/>
  <c r="CG12" i="3"/>
  <c r="CF12" i="3"/>
  <c r="CE12" i="3"/>
  <c r="CD12" i="3"/>
  <c r="CC12" i="3"/>
  <c r="CB12" i="3"/>
  <c r="CA12" i="3"/>
  <c r="BZ12" i="3"/>
  <c r="BY12" i="3"/>
  <c r="BX12" i="3"/>
  <c r="BW12" i="3"/>
  <c r="BV12" i="3"/>
  <c r="BU12" i="3"/>
  <c r="CK11" i="3"/>
  <c r="CJ11" i="3"/>
  <c r="CI11" i="3"/>
  <c r="CH11" i="3"/>
  <c r="CG11" i="3"/>
  <c r="CF11" i="3"/>
  <c r="CE11" i="3"/>
  <c r="CD11" i="3"/>
  <c r="CC11" i="3"/>
  <c r="CB11" i="3"/>
  <c r="CA11" i="3"/>
  <c r="BZ11" i="3"/>
  <c r="BY11" i="3"/>
  <c r="BX11" i="3"/>
  <c r="BW11" i="3"/>
  <c r="BV11" i="3"/>
  <c r="BU11" i="3"/>
  <c r="CK9" i="3"/>
  <c r="CJ9" i="3"/>
  <c r="CI9" i="3"/>
  <c r="CH9" i="3"/>
  <c r="CG9" i="3"/>
  <c r="CF9" i="3"/>
  <c r="CE9" i="3"/>
  <c r="CD9" i="3"/>
  <c r="CC9" i="3"/>
  <c r="CB9" i="3"/>
  <c r="CA9" i="3"/>
  <c r="BZ9" i="3"/>
  <c r="BY9" i="3"/>
  <c r="BX9" i="3"/>
  <c r="BW9" i="3"/>
  <c r="BV9" i="3"/>
  <c r="BU9" i="3"/>
  <c r="BS8" i="3"/>
  <c r="BS57" i="3" s="1"/>
  <c r="BR8" i="3"/>
  <c r="BR57" i="3" s="1"/>
  <c r="BQ8" i="3"/>
  <c r="BP8" i="3"/>
  <c r="BO8" i="3"/>
  <c r="BO57" i="3" s="1"/>
  <c r="BN8" i="3"/>
  <c r="BM8" i="3"/>
  <c r="BM57" i="3" s="1"/>
  <c r="BL8" i="3"/>
  <c r="BL57" i="3" s="1"/>
  <c r="BK8" i="3"/>
  <c r="BK57" i="3" s="1"/>
  <c r="BJ8" i="3"/>
  <c r="BJ57" i="3" s="1"/>
  <c r="BI8" i="3"/>
  <c r="BH8" i="3"/>
  <c r="BG8" i="3"/>
  <c r="BG57" i="3" s="1"/>
  <c r="BF8" i="3"/>
  <c r="BE8" i="3"/>
  <c r="BE57" i="3" s="1"/>
  <c r="BD8" i="3"/>
  <c r="BD57" i="3" s="1"/>
  <c r="BC8" i="3"/>
  <c r="BC57" i="3" s="1"/>
  <c r="BB8" i="3"/>
  <c r="BB57" i="3" s="1"/>
  <c r="BA8" i="3"/>
  <c r="AZ8" i="3"/>
  <c r="AY8" i="3"/>
  <c r="AY57" i="3" s="1"/>
  <c r="AX8" i="3"/>
  <c r="AW8" i="3"/>
  <c r="AW57" i="3" s="1"/>
  <c r="AV8" i="3"/>
  <c r="AV57" i="3" s="1"/>
  <c r="AU8" i="3"/>
  <c r="AU57" i="3" s="1"/>
  <c r="AT8" i="3"/>
  <c r="AT57" i="3" s="1"/>
  <c r="AS8" i="3"/>
  <c r="AR8" i="3"/>
  <c r="AQ8" i="3"/>
  <c r="AQ57" i="3" s="1"/>
  <c r="AP8" i="3"/>
  <c r="AO8" i="3"/>
  <c r="AO57" i="3" s="1"/>
  <c r="AN8" i="3"/>
  <c r="AN57" i="3" s="1"/>
  <c r="AM8" i="3"/>
  <c r="AM57" i="3" s="1"/>
  <c r="AL8" i="3"/>
  <c r="AL57" i="3" s="1"/>
  <c r="AK8" i="3"/>
  <c r="AK57" i="3" s="1"/>
  <c r="AJ8" i="3"/>
  <c r="AI8" i="3"/>
  <c r="AI57" i="3" s="1"/>
  <c r="AH8" i="3"/>
  <c r="AG8" i="3"/>
  <c r="AG57" i="3" s="1"/>
  <c r="AF8" i="3"/>
  <c r="AF57" i="3" s="1"/>
  <c r="AE8" i="3"/>
  <c r="AE57" i="3" s="1"/>
  <c r="AD8" i="3"/>
  <c r="AD57" i="3" s="1"/>
  <c r="AC8" i="3"/>
  <c r="AB8" i="3"/>
  <c r="AA8" i="3"/>
  <c r="Z8" i="3"/>
  <c r="Y8" i="3"/>
  <c r="Y57" i="3" s="1"/>
  <c r="X8" i="3"/>
  <c r="X57" i="3" s="1"/>
  <c r="W8" i="3"/>
  <c r="W57" i="3" s="1"/>
  <c r="V8" i="3"/>
  <c r="V57" i="3" s="1"/>
  <c r="U8" i="3"/>
  <c r="T8" i="3"/>
  <c r="S8" i="3"/>
  <c r="S57" i="3" s="1"/>
  <c r="R8" i="3"/>
  <c r="Q8" i="3"/>
  <c r="Q57" i="3" s="1"/>
  <c r="P8" i="3"/>
  <c r="P57" i="3" s="1"/>
  <c r="O8" i="3"/>
  <c r="O57" i="3" s="1"/>
  <c r="N8" i="3"/>
  <c r="M8" i="3"/>
  <c r="M57" i="3" s="1"/>
  <c r="L8" i="3"/>
  <c r="K8" i="3"/>
  <c r="K57" i="3" s="1"/>
  <c r="J8" i="3"/>
  <c r="I8" i="3"/>
  <c r="I57" i="3" s="1"/>
  <c r="H8" i="3"/>
  <c r="H57" i="3" s="1"/>
  <c r="G8" i="3"/>
  <c r="G57" i="3" s="1"/>
  <c r="F8" i="3"/>
  <c r="F57" i="3" s="1"/>
  <c r="E8" i="3"/>
  <c r="D8" i="3"/>
  <c r="C8" i="3"/>
  <c r="C57" i="3" s="1"/>
  <c r="B8" i="3"/>
  <c r="CK7" i="3"/>
  <c r="CJ7" i="3"/>
  <c r="CI7" i="3"/>
  <c r="CH7" i="3"/>
  <c r="CG7" i="3"/>
  <c r="CF7" i="3"/>
  <c r="CE7" i="3"/>
  <c r="CD7" i="3"/>
  <c r="CC7" i="3"/>
  <c r="CB7" i="3"/>
  <c r="CA7" i="3"/>
  <c r="BZ7" i="3"/>
  <c r="BY7" i="3"/>
  <c r="BX7" i="3"/>
  <c r="BW7" i="3"/>
  <c r="BV7" i="3"/>
  <c r="BU7" i="3"/>
  <c r="CK6" i="3"/>
  <c r="CK53" i="3" s="1"/>
  <c r="CJ6" i="3"/>
  <c r="CI6" i="3"/>
  <c r="CH6" i="3"/>
  <c r="CG6" i="3"/>
  <c r="CF6" i="3"/>
  <c r="CE6" i="3"/>
  <c r="CD6" i="3"/>
  <c r="CC6" i="3"/>
  <c r="CC53" i="3" s="1"/>
  <c r="CB6" i="3"/>
  <c r="CA6" i="3"/>
  <c r="BZ6" i="3"/>
  <c r="BY6" i="3"/>
  <c r="BX6" i="3"/>
  <c r="BW6" i="3"/>
  <c r="BV6" i="3"/>
  <c r="BU6" i="3"/>
  <c r="BU53" i="3" s="1"/>
  <c r="Q48" i="1" l="1"/>
  <c r="Q46" i="1"/>
  <c r="G45" i="1"/>
  <c r="G78" i="1"/>
  <c r="Q49" i="1"/>
  <c r="AM70" i="1"/>
  <c r="O46" i="1"/>
  <c r="P48" i="1"/>
  <c r="M49" i="1"/>
  <c r="P46" i="1"/>
  <c r="P49" i="1"/>
  <c r="N49" i="1"/>
  <c r="H49" i="1"/>
  <c r="L49" i="1"/>
  <c r="K49" i="1"/>
  <c r="AO49" i="1" s="1"/>
  <c r="I49" i="1"/>
  <c r="J49" i="1"/>
  <c r="O49" i="1"/>
  <c r="AP49" i="1" s="1"/>
  <c r="O48" i="1"/>
  <c r="AM48" i="1"/>
  <c r="AP77" i="1"/>
  <c r="BF65" i="3"/>
  <c r="BN65" i="3"/>
  <c r="AP47" i="1"/>
  <c r="AP75" i="1"/>
  <c r="H79" i="1"/>
  <c r="AP45" i="1"/>
  <c r="AP73" i="1"/>
  <c r="CB53" i="3"/>
  <c r="N16" i="3"/>
  <c r="N61" i="3" s="1"/>
  <c r="BZ13" i="3"/>
  <c r="BZ59" i="3" s="1"/>
  <c r="CH13" i="3"/>
  <c r="CH59" i="3" s="1"/>
  <c r="BX53" i="3"/>
  <c r="BZ46" i="3"/>
  <c r="CH46" i="3"/>
  <c r="BU58" i="3"/>
  <c r="BV42" i="3"/>
  <c r="BV44" i="3" s="1"/>
  <c r="CH42" i="3"/>
  <c r="CH44" i="3" s="1"/>
  <c r="CJ54" i="3"/>
  <c r="BW46" i="3"/>
  <c r="CE46" i="3"/>
  <c r="CA46" i="3"/>
  <c r="CC46" i="3"/>
  <c r="CK46" i="3"/>
  <c r="BW42" i="3"/>
  <c r="BW44" i="3" s="1"/>
  <c r="CE42" i="3"/>
  <c r="CE44" i="3" s="1"/>
  <c r="BW53" i="3"/>
  <c r="CE53" i="3"/>
  <c r="E16" i="3"/>
  <c r="E61" i="3" s="1"/>
  <c r="U16" i="3"/>
  <c r="U61" i="3" s="1"/>
  <c r="AC16" i="3"/>
  <c r="AC61" i="3" s="1"/>
  <c r="AS16" i="3"/>
  <c r="AS61" i="3" s="1"/>
  <c r="BA16" i="3"/>
  <c r="BA61" i="3" s="1"/>
  <c r="BI16" i="3"/>
  <c r="BI61" i="3" s="1"/>
  <c r="BQ16" i="3"/>
  <c r="BQ24" i="3" s="1"/>
  <c r="BQ75" i="3" s="1"/>
  <c r="BY13" i="3"/>
  <c r="BY59" i="3" s="1"/>
  <c r="CB46" i="3"/>
  <c r="CJ46" i="3"/>
  <c r="CA42" i="3"/>
  <c r="CA44" i="3" s="1"/>
  <c r="CK54" i="3"/>
  <c r="CE54" i="3"/>
  <c r="CG13" i="3"/>
  <c r="CG59" i="3" s="1"/>
  <c r="AC57" i="3"/>
  <c r="BY8" i="3"/>
  <c r="BX22" i="3"/>
  <c r="BX62" i="3" s="1"/>
  <c r="CJ8" i="3"/>
  <c r="CJ57" i="3" s="1"/>
  <c r="CI22" i="3"/>
  <c r="CI62" i="3" s="1"/>
  <c r="CF42" i="3"/>
  <c r="CF44" i="3" s="1"/>
  <c r="CF8" i="3"/>
  <c r="CF57" i="3" s="1"/>
  <c r="AA16" i="3"/>
  <c r="AA24" i="3" s="1"/>
  <c r="BW13" i="3"/>
  <c r="BW59" i="3" s="1"/>
  <c r="CE13" i="3"/>
  <c r="CE59" i="3" s="1"/>
  <c r="CC13" i="3"/>
  <c r="CC59" i="3" s="1"/>
  <c r="CD13" i="3"/>
  <c r="CD59" i="3" s="1"/>
  <c r="BV60" i="3"/>
  <c r="C16" i="3"/>
  <c r="C61" i="3" s="1"/>
  <c r="BZ45" i="3"/>
  <c r="CI54" i="3"/>
  <c r="AM75" i="1"/>
  <c r="BX13" i="3"/>
  <c r="BX59" i="3" s="1"/>
  <c r="CF13" i="3"/>
  <c r="CF59" i="3" s="1"/>
  <c r="S16" i="3"/>
  <c r="S61" i="3" s="1"/>
  <c r="CC54" i="3"/>
  <c r="AO16" i="3"/>
  <c r="AO61" i="3" s="1"/>
  <c r="BX46" i="3"/>
  <c r="CF46" i="3"/>
  <c r="CI53" i="3"/>
  <c r="BY60" i="3"/>
  <c r="CG60" i="3"/>
  <c r="BD16" i="3"/>
  <c r="BD61" i="3" s="1"/>
  <c r="BY46" i="3"/>
  <c r="CG46" i="3"/>
  <c r="CC45" i="3"/>
  <c r="CK45" i="3"/>
  <c r="BX8" i="3"/>
  <c r="BX57" i="3" s="1"/>
  <c r="CC22" i="3"/>
  <c r="CC62" i="3" s="1"/>
  <c r="CA53" i="3"/>
  <c r="BM16" i="3"/>
  <c r="CB13" i="3"/>
  <c r="CB59" i="3" s="1"/>
  <c r="CJ13" i="3"/>
  <c r="CJ59" i="3" s="1"/>
  <c r="BX45" i="3"/>
  <c r="CF45" i="3"/>
  <c r="CE45" i="3"/>
  <c r="H78" i="1"/>
  <c r="AO77" i="1"/>
  <c r="AM79" i="1"/>
  <c r="AM78" i="1"/>
  <c r="AN79" i="1"/>
  <c r="AN78" i="1"/>
  <c r="BJ62" i="3"/>
  <c r="BJ23" i="3"/>
  <c r="BV53" i="3"/>
  <c r="CD53" i="3"/>
  <c r="BW8" i="3"/>
  <c r="BW57" i="3" s="1"/>
  <c r="BV13" i="3"/>
  <c r="BV59" i="3" s="1"/>
  <c r="P16" i="3"/>
  <c r="P61" i="3" s="1"/>
  <c r="AT16" i="3"/>
  <c r="AT61" i="3" s="1"/>
  <c r="BW22" i="3"/>
  <c r="BW62" i="3" s="1"/>
  <c r="CE22" i="3"/>
  <c r="CE62" i="3" s="1"/>
  <c r="BU22" i="3"/>
  <c r="BU62" i="3" s="1"/>
  <c r="CK22" i="3"/>
  <c r="CK62" i="3" s="1"/>
  <c r="BL62" i="3"/>
  <c r="BL23" i="3"/>
  <c r="CD42" i="3"/>
  <c r="CD44" i="3" s="1"/>
  <c r="CG54" i="3"/>
  <c r="BA57" i="3"/>
  <c r="AM46" i="1"/>
  <c r="BZ60" i="3"/>
  <c r="CH60" i="3"/>
  <c r="V16" i="3"/>
  <c r="V61" i="3" s="1"/>
  <c r="BV46" i="3"/>
  <c r="BF62" i="3"/>
  <c r="BF23" i="3"/>
  <c r="BN62" i="3"/>
  <c r="BN23" i="3"/>
  <c r="CH54" i="3"/>
  <c r="BQ57" i="3"/>
  <c r="C65" i="3"/>
  <c r="H45" i="1"/>
  <c r="J79" i="1"/>
  <c r="BK16" i="3"/>
  <c r="E15" i="1" s="1"/>
  <c r="E25" i="1" s="1"/>
  <c r="BC16" i="3"/>
  <c r="BC61" i="3" s="1"/>
  <c r="I79" i="1"/>
  <c r="BY53" i="3"/>
  <c r="CG53" i="3"/>
  <c r="CA8" i="3"/>
  <c r="CA57" i="3" s="1"/>
  <c r="AD16" i="3"/>
  <c r="AD61" i="3" s="1"/>
  <c r="BJ16" i="3"/>
  <c r="D15" i="1" s="1"/>
  <c r="D25" i="1" s="1"/>
  <c r="BZ22" i="3"/>
  <c r="BZ62" i="3" s="1"/>
  <c r="BY22" i="3"/>
  <c r="BY62" i="3" s="1"/>
  <c r="CG22" i="3"/>
  <c r="CG62" i="3" s="1"/>
  <c r="CF22" i="3"/>
  <c r="CF62" i="3" s="1"/>
  <c r="BG62" i="3"/>
  <c r="BG23" i="3"/>
  <c r="BO62" i="3"/>
  <c r="BO23" i="3"/>
  <c r="CI42" i="3"/>
  <c r="CI44" i="3" s="1"/>
  <c r="BU49" i="3"/>
  <c r="K79" i="1"/>
  <c r="W16" i="3"/>
  <c r="W61" i="3" s="1"/>
  <c r="CH22" i="3"/>
  <c r="CH62" i="3" s="1"/>
  <c r="CG8" i="3"/>
  <c r="CB60" i="3"/>
  <c r="AE16" i="3"/>
  <c r="AE61" i="3" s="1"/>
  <c r="BO16" i="3"/>
  <c r="BO61" i="3" s="1"/>
  <c r="CA22" i="3"/>
  <c r="CA62" i="3" s="1"/>
  <c r="BH62" i="3"/>
  <c r="BH23" i="3"/>
  <c r="BP62" i="3"/>
  <c r="BP23" i="3"/>
  <c r="BZ42" i="3"/>
  <c r="BZ44" i="3" s="1"/>
  <c r="BY45" i="3"/>
  <c r="CG45" i="3"/>
  <c r="N57" i="3"/>
  <c r="N46" i="1"/>
  <c r="L79" i="1"/>
  <c r="BM62" i="3"/>
  <c r="BM23" i="3"/>
  <c r="CI8" i="3"/>
  <c r="CI57" i="3" s="1"/>
  <c r="CA13" i="3"/>
  <c r="CA59" i="3" s="1"/>
  <c r="CI13" i="3"/>
  <c r="CI59" i="3" s="1"/>
  <c r="AF16" i="3"/>
  <c r="AF61" i="3" s="1"/>
  <c r="BR16" i="3"/>
  <c r="BR61" i="3" s="1"/>
  <c r="E65" i="3"/>
  <c r="BI62" i="3"/>
  <c r="BI23" i="3"/>
  <c r="BQ62" i="3"/>
  <c r="BQ23" i="3"/>
  <c r="CH45" i="3"/>
  <c r="CD54" i="3"/>
  <c r="K46" i="1"/>
  <c r="BR62" i="3"/>
  <c r="BR23" i="3"/>
  <c r="AN48" i="1"/>
  <c r="BV8" i="3"/>
  <c r="BV57" i="3" s="1"/>
  <c r="BU13" i="3"/>
  <c r="BU59" i="3" s="1"/>
  <c r="CK13" i="3"/>
  <c r="CK59" i="3" s="1"/>
  <c r="X16" i="3"/>
  <c r="X61" i="3" s="1"/>
  <c r="BW60" i="3"/>
  <c r="CE60" i="3"/>
  <c r="F16" i="3"/>
  <c r="F61" i="3" s="1"/>
  <c r="AQ16" i="3"/>
  <c r="AQ61" i="3" s="1"/>
  <c r="CI46" i="3"/>
  <c r="BK62" i="3"/>
  <c r="BK23" i="3"/>
  <c r="BS62" i="3"/>
  <c r="BS23" i="3"/>
  <c r="BU42" i="3"/>
  <c r="BU44" i="3" s="1"/>
  <c r="CC42" i="3"/>
  <c r="CC44" i="3" s="1"/>
  <c r="CK42" i="3"/>
  <c r="CK44" i="3" s="1"/>
  <c r="CB45" i="3"/>
  <c r="CJ45" i="3"/>
  <c r="E62" i="3"/>
  <c r="N78" i="1"/>
  <c r="AN75" i="1"/>
  <c r="M48" i="1"/>
  <c r="AN45" i="1"/>
  <c r="AO75" i="1"/>
  <c r="AM67" i="1"/>
  <c r="M78" i="1"/>
  <c r="AM45" i="1"/>
  <c r="H67" i="1"/>
  <c r="AN67" i="1"/>
  <c r="N48" i="1"/>
  <c r="M79" i="1"/>
  <c r="L46" i="1"/>
  <c r="I78" i="1"/>
  <c r="M46" i="1"/>
  <c r="J78" i="1"/>
  <c r="I67" i="1"/>
  <c r="K67" i="1"/>
  <c r="AO58" i="1"/>
  <c r="K78" i="1"/>
  <c r="L67" i="1"/>
  <c r="L78" i="1"/>
  <c r="M67" i="1"/>
  <c r="K48" i="1"/>
  <c r="AO95" i="1"/>
  <c r="L48" i="1"/>
  <c r="AO73" i="1"/>
  <c r="J67" i="1"/>
  <c r="H68" i="1"/>
  <c r="CC58" i="3"/>
  <c r="BS65" i="3"/>
  <c r="BS59" i="3"/>
  <c r="BX60" i="3"/>
  <c r="BE16" i="3"/>
  <c r="BS16" i="3"/>
  <c r="BS61" i="3" s="1"/>
  <c r="AA57" i="3"/>
  <c r="R57" i="3"/>
  <c r="R16" i="3"/>
  <c r="AE59" i="3"/>
  <c r="AE65" i="3"/>
  <c r="BA65" i="3"/>
  <c r="O65" i="3"/>
  <c r="O59" i="3"/>
  <c r="AV65" i="3"/>
  <c r="AV59" i="3"/>
  <c r="BH57" i="3"/>
  <c r="BH16" i="3"/>
  <c r="X59" i="3"/>
  <c r="BC65" i="3"/>
  <c r="BU26" i="3"/>
  <c r="J57" i="3"/>
  <c r="J16" i="3"/>
  <c r="AP57" i="3"/>
  <c r="AP16" i="3"/>
  <c r="AX57" i="3"/>
  <c r="AX16" i="3"/>
  <c r="BN57" i="3"/>
  <c r="BN16" i="3"/>
  <c r="BN61" i="3" s="1"/>
  <c r="G65" i="3"/>
  <c r="G59" i="3"/>
  <c r="AU65" i="3"/>
  <c r="AU59" i="3"/>
  <c r="CF60" i="3"/>
  <c r="BV58" i="3"/>
  <c r="P65" i="3"/>
  <c r="AN65" i="3"/>
  <c r="AN59" i="3"/>
  <c r="AU16" i="3"/>
  <c r="T57" i="3"/>
  <c r="T16" i="3"/>
  <c r="Q59" i="3"/>
  <c r="Q65" i="3"/>
  <c r="AO59" i="3"/>
  <c r="AO65" i="3"/>
  <c r="BM59" i="3"/>
  <c r="BM65" i="3"/>
  <c r="AV16" i="3"/>
  <c r="CD8" i="3"/>
  <c r="BX58" i="3"/>
  <c r="CF58" i="3"/>
  <c r="B65" i="3"/>
  <c r="B59" i="3"/>
  <c r="J65" i="3"/>
  <c r="J59" i="3"/>
  <c r="R65" i="3"/>
  <c r="R59" i="3"/>
  <c r="Z65" i="3"/>
  <c r="Z59" i="3"/>
  <c r="AH65" i="3"/>
  <c r="AH59" i="3"/>
  <c r="AP65" i="3"/>
  <c r="AP59" i="3"/>
  <c r="AX65" i="3"/>
  <c r="AX59" i="3"/>
  <c r="CA60" i="3"/>
  <c r="CI60" i="3"/>
  <c r="K16" i="3"/>
  <c r="AL16" i="3"/>
  <c r="AW16" i="3"/>
  <c r="CB22" i="3"/>
  <c r="CB62" i="3" s="1"/>
  <c r="CJ22" i="3"/>
  <c r="CJ62" i="3" s="1"/>
  <c r="BU46" i="3"/>
  <c r="BU45" i="3"/>
  <c r="BF59" i="3"/>
  <c r="B57" i="3"/>
  <c r="B16" i="3"/>
  <c r="AH57" i="3"/>
  <c r="AH16" i="3"/>
  <c r="BF57" i="3"/>
  <c r="BF16" i="3"/>
  <c r="CK58" i="3"/>
  <c r="AM59" i="3"/>
  <c r="AM65" i="3"/>
  <c r="BK65" i="3"/>
  <c r="BK59" i="3"/>
  <c r="G16" i="3"/>
  <c r="CD58" i="3"/>
  <c r="H65" i="3"/>
  <c r="H59" i="3"/>
  <c r="AF65" i="3"/>
  <c r="AF59" i="3"/>
  <c r="BL65" i="3"/>
  <c r="BL59" i="3"/>
  <c r="H16" i="3"/>
  <c r="AG16" i="3"/>
  <c r="BG16" i="3"/>
  <c r="D57" i="3"/>
  <c r="D16" i="3"/>
  <c r="AB57" i="3"/>
  <c r="AB16" i="3"/>
  <c r="AR57" i="3"/>
  <c r="AR16" i="3"/>
  <c r="BP57" i="3"/>
  <c r="BP16" i="3"/>
  <c r="BP61" i="3" s="1"/>
  <c r="CE58" i="3"/>
  <c r="I65" i="3"/>
  <c r="I59" i="3"/>
  <c r="AW65" i="3"/>
  <c r="AW59" i="3"/>
  <c r="CJ60" i="3"/>
  <c r="Y16" i="3"/>
  <c r="AM16" i="3"/>
  <c r="AY16" i="3"/>
  <c r="BL16" i="3"/>
  <c r="F15" i="1" s="1"/>
  <c r="F25" i="1" s="1"/>
  <c r="BV45" i="3"/>
  <c r="CD45" i="3"/>
  <c r="CD46" i="3"/>
  <c r="CF53" i="3"/>
  <c r="BN59" i="3"/>
  <c r="Q16" i="3"/>
  <c r="Z57" i="3"/>
  <c r="Z16" i="3"/>
  <c r="W59" i="3"/>
  <c r="W65" i="3"/>
  <c r="X65" i="3"/>
  <c r="BD65" i="3"/>
  <c r="BD59" i="3"/>
  <c r="L57" i="3"/>
  <c r="L16" i="3"/>
  <c r="AJ57" i="3"/>
  <c r="AJ16" i="3"/>
  <c r="AZ57" i="3"/>
  <c r="AZ16" i="3"/>
  <c r="BW58" i="3"/>
  <c r="Y65" i="3"/>
  <c r="Y59" i="3"/>
  <c r="AG59" i="3"/>
  <c r="AG65" i="3"/>
  <c r="BE65" i="3"/>
  <c r="BE59" i="3"/>
  <c r="I16" i="3"/>
  <c r="AI16" i="3"/>
  <c r="CE8" i="3"/>
  <c r="BZ58" i="3"/>
  <c r="CH58" i="3"/>
  <c r="D65" i="3"/>
  <c r="D59" i="3"/>
  <c r="L65" i="3"/>
  <c r="L59" i="3"/>
  <c r="T65" i="3"/>
  <c r="T59" i="3"/>
  <c r="AB65" i="3"/>
  <c r="AB59" i="3"/>
  <c r="AJ65" i="3"/>
  <c r="AJ59" i="3"/>
  <c r="AR65" i="3"/>
  <c r="AR59" i="3"/>
  <c r="AZ65" i="3"/>
  <c r="AZ59" i="3"/>
  <c r="BH65" i="3"/>
  <c r="BH59" i="3"/>
  <c r="BP65" i="3"/>
  <c r="BP59" i="3"/>
  <c r="BU60" i="3"/>
  <c r="CC60" i="3"/>
  <c r="CK60" i="3"/>
  <c r="O16" i="3"/>
  <c r="AN16" i="3"/>
  <c r="BB16" i="3"/>
  <c r="BV22" i="3"/>
  <c r="BV62" i="3" s="1"/>
  <c r="CD22" i="3"/>
  <c r="CD62" i="3" s="1"/>
  <c r="BW45" i="3"/>
  <c r="BX42" i="3"/>
  <c r="BX44" i="3" s="1"/>
  <c r="E57" i="3"/>
  <c r="N65" i="3"/>
  <c r="BZ53" i="3"/>
  <c r="CH53" i="3"/>
  <c r="BZ8" i="3"/>
  <c r="CH8" i="3"/>
  <c r="BY58" i="3"/>
  <c r="K59" i="3"/>
  <c r="K65" i="3"/>
  <c r="S59" i="3"/>
  <c r="S65" i="3"/>
  <c r="AI59" i="3"/>
  <c r="AI65" i="3"/>
  <c r="AY59" i="3"/>
  <c r="AY65" i="3"/>
  <c r="BG59" i="3"/>
  <c r="BG65" i="3"/>
  <c r="BO59" i="3"/>
  <c r="BO65" i="3"/>
  <c r="CD60" i="3"/>
  <c r="BY42" i="3"/>
  <c r="BY44" i="3" s="1"/>
  <c r="CG42" i="3"/>
  <c r="CG44" i="3" s="1"/>
  <c r="AS57" i="3"/>
  <c r="BQ65" i="3"/>
  <c r="CJ53" i="3"/>
  <c r="U57" i="3"/>
  <c r="CG58" i="3"/>
  <c r="AA65" i="3"/>
  <c r="CB8" i="3"/>
  <c r="CA58" i="3"/>
  <c r="CI58" i="3"/>
  <c r="M59" i="3"/>
  <c r="M65" i="3"/>
  <c r="U59" i="3"/>
  <c r="U65" i="3"/>
  <c r="AC59" i="3"/>
  <c r="AC65" i="3"/>
  <c r="AK59" i="3"/>
  <c r="AK65" i="3"/>
  <c r="AS59" i="3"/>
  <c r="AS65" i="3"/>
  <c r="BI59" i="3"/>
  <c r="BI65" i="3"/>
  <c r="BI57" i="3"/>
  <c r="AD65" i="3"/>
  <c r="BU8" i="3"/>
  <c r="CC8" i="3"/>
  <c r="CK8" i="3"/>
  <c r="CB58" i="3"/>
  <c r="CJ58" i="3"/>
  <c r="F65" i="3"/>
  <c r="V59" i="3"/>
  <c r="V65" i="3"/>
  <c r="AL65" i="3"/>
  <c r="AT65" i="3"/>
  <c r="BB59" i="3"/>
  <c r="BB65" i="3"/>
  <c r="BJ65" i="3"/>
  <c r="BJ59" i="3"/>
  <c r="BR65" i="3"/>
  <c r="M16" i="3"/>
  <c r="AK16" i="3"/>
  <c r="CB42" i="3"/>
  <c r="CB44" i="3" s="1"/>
  <c r="CJ42" i="3"/>
  <c r="CJ44" i="3" s="1"/>
  <c r="CA45" i="3"/>
  <c r="CI45" i="3"/>
  <c r="CF54" i="3"/>
  <c r="F59" i="3"/>
  <c r="AQ65" i="3"/>
  <c r="G15" i="1" l="1"/>
  <c r="BD24" i="3"/>
  <c r="S24" i="3"/>
  <c r="S75" i="3" s="1"/>
  <c r="BI24" i="3"/>
  <c r="BI28" i="3" s="1"/>
  <c r="N24" i="3"/>
  <c r="N75" i="3" s="1"/>
  <c r="BQ28" i="3"/>
  <c r="BQ64" i="3"/>
  <c r="BY16" i="3"/>
  <c r="BY61" i="3" s="1"/>
  <c r="AP46" i="1"/>
  <c r="AO67" i="1"/>
  <c r="U24" i="3"/>
  <c r="U75" i="3" s="1"/>
  <c r="AP78" i="1"/>
  <c r="AP79" i="1"/>
  <c r="AP48" i="1"/>
  <c r="AA61" i="3"/>
  <c r="BM61" i="3"/>
  <c r="BA24" i="3"/>
  <c r="BA75" i="3" s="1"/>
  <c r="BY65" i="3"/>
  <c r="AE24" i="3"/>
  <c r="AE75" i="3" s="1"/>
  <c r="BY57" i="3"/>
  <c r="BZ65" i="3"/>
  <c r="BR24" i="3"/>
  <c r="BR28" i="3" s="1"/>
  <c r="BK24" i="3"/>
  <c r="BK64" i="3" s="1"/>
  <c r="BQ61" i="3"/>
  <c r="CG16" i="3"/>
  <c r="CG24" i="3" s="1"/>
  <c r="BW65" i="3"/>
  <c r="AQ24" i="3"/>
  <c r="AQ64" i="3" s="1"/>
  <c r="BM24" i="3"/>
  <c r="BM28" i="3" s="1"/>
  <c r="BO24" i="3"/>
  <c r="BO28" i="3" s="1"/>
  <c r="BK61" i="3"/>
  <c r="W24" i="3"/>
  <c r="W28" i="3" s="1"/>
  <c r="AF24" i="3"/>
  <c r="AF75" i="3" s="1"/>
  <c r="BX16" i="3"/>
  <c r="BX61" i="3" s="1"/>
  <c r="P24" i="3"/>
  <c r="P75" i="3" s="1"/>
  <c r="BX65" i="3"/>
  <c r="E24" i="3"/>
  <c r="CG65" i="3"/>
  <c r="CA65" i="3"/>
  <c r="C24" i="3"/>
  <c r="C64" i="3" s="1"/>
  <c r="BC24" i="3"/>
  <c r="BC64" i="3" s="1"/>
  <c r="AD24" i="3"/>
  <c r="AD64" i="3" s="1"/>
  <c r="CI16" i="3"/>
  <c r="CI61" i="3" s="1"/>
  <c r="AC24" i="3"/>
  <c r="CJ65" i="3"/>
  <c r="AS24" i="3"/>
  <c r="AS75" i="3" s="1"/>
  <c r="CE65" i="3"/>
  <c r="F24" i="3"/>
  <c r="F75" i="3" s="1"/>
  <c r="CC65" i="3"/>
  <c r="CF16" i="3"/>
  <c r="CF24" i="3" s="1"/>
  <c r="CF65" i="3"/>
  <c r="AO24" i="3"/>
  <c r="AO28" i="3" s="1"/>
  <c r="V24" i="3"/>
  <c r="V75" i="3" s="1"/>
  <c r="CG57" i="3"/>
  <c r="CB65" i="3"/>
  <c r="CH65" i="3"/>
  <c r="BW16" i="3"/>
  <c r="BW61" i="3" s="1"/>
  <c r="CA16" i="3"/>
  <c r="CA61" i="3" s="1"/>
  <c r="CJ16" i="3"/>
  <c r="CJ61" i="3" s="1"/>
  <c r="BU65" i="3"/>
  <c r="F31" i="1"/>
  <c r="F35" i="1" s="1"/>
  <c r="X24" i="3"/>
  <c r="X64" i="3" s="1"/>
  <c r="CI65" i="3"/>
  <c r="BV16" i="3"/>
  <c r="BV61" i="3" s="1"/>
  <c r="AN82" i="1"/>
  <c r="BJ61" i="3"/>
  <c r="D31" i="1"/>
  <c r="D35" i="1" s="1"/>
  <c r="BJ24" i="3"/>
  <c r="E31" i="1"/>
  <c r="E35" i="1" s="1"/>
  <c r="AT24" i="3"/>
  <c r="AT75" i="3" s="1"/>
  <c r="CK65" i="3"/>
  <c r="AO78" i="1"/>
  <c r="CD65" i="3"/>
  <c r="BU57" i="3"/>
  <c r="BU16" i="3"/>
  <c r="BZ16" i="3"/>
  <c r="BZ57" i="3"/>
  <c r="CE16" i="3"/>
  <c r="CE57" i="3"/>
  <c r="AI61" i="3"/>
  <c r="AI24" i="3"/>
  <c r="H24" i="3"/>
  <c r="H61" i="3"/>
  <c r="BF61" i="3"/>
  <c r="BF24" i="3"/>
  <c r="CD57" i="3"/>
  <c r="CD16" i="3"/>
  <c r="I61" i="3"/>
  <c r="I24" i="3"/>
  <c r="AB61" i="3"/>
  <c r="AB24" i="3"/>
  <c r="G61" i="3"/>
  <c r="G24" i="3"/>
  <c r="AW61" i="3"/>
  <c r="AW24" i="3"/>
  <c r="BV65" i="3"/>
  <c r="AX24" i="3"/>
  <c r="AX61" i="3"/>
  <c r="R24" i="3"/>
  <c r="R61" i="3"/>
  <c r="K61" i="3"/>
  <c r="K24" i="3"/>
  <c r="AV61" i="3"/>
  <c r="AV24" i="3"/>
  <c r="AP61" i="3"/>
  <c r="AP24" i="3"/>
  <c r="AJ61" i="3"/>
  <c r="AJ24" i="3"/>
  <c r="AU61" i="3"/>
  <c r="AU24" i="3"/>
  <c r="BH61" i="3"/>
  <c r="BH24" i="3"/>
  <c r="AL61" i="3"/>
  <c r="AL24" i="3"/>
  <c r="T61" i="3"/>
  <c r="T24" i="3"/>
  <c r="AY61" i="3"/>
  <c r="AY24" i="3"/>
  <c r="D61" i="3"/>
  <c r="D24" i="3"/>
  <c r="CB57" i="3"/>
  <c r="CB16" i="3"/>
  <c r="AN61" i="3"/>
  <c r="AN24" i="3"/>
  <c r="AM61" i="3"/>
  <c r="AM24" i="3"/>
  <c r="B61" i="3"/>
  <c r="B24" i="3"/>
  <c r="AK61" i="3"/>
  <c r="AK24" i="3"/>
  <c r="CK57" i="3"/>
  <c r="CK16" i="3"/>
  <c r="O61" i="3"/>
  <c r="O24" i="3"/>
  <c r="Q61" i="3"/>
  <c r="Q24" i="3"/>
  <c r="Y61" i="3"/>
  <c r="Y24" i="3"/>
  <c r="BP24" i="3"/>
  <c r="J24" i="3"/>
  <c r="J61" i="3"/>
  <c r="AZ24" i="3"/>
  <c r="AZ61" i="3"/>
  <c r="BL61" i="3"/>
  <c r="BL24" i="3"/>
  <c r="AH61" i="3"/>
  <c r="AH24" i="3"/>
  <c r="BB61" i="3"/>
  <c r="BB24" i="3"/>
  <c r="Z61" i="3"/>
  <c r="Z24" i="3"/>
  <c r="M61" i="3"/>
  <c r="M24" i="3"/>
  <c r="CC57" i="3"/>
  <c r="CC16" i="3"/>
  <c r="CH57" i="3"/>
  <c r="CH16" i="3"/>
  <c r="L61" i="3"/>
  <c r="L24" i="3"/>
  <c r="BG61" i="3"/>
  <c r="BG24" i="3"/>
  <c r="BS24" i="3"/>
  <c r="AA75" i="3"/>
  <c r="AA64" i="3"/>
  <c r="AA28" i="3"/>
  <c r="BI64" i="3"/>
  <c r="BI75" i="3"/>
  <c r="S64" i="3"/>
  <c r="AR61" i="3"/>
  <c r="AR24" i="3"/>
  <c r="AG61" i="3"/>
  <c r="AG24" i="3"/>
  <c r="BD75" i="3"/>
  <c r="BD64" i="3"/>
  <c r="BD28" i="3"/>
  <c r="BN24" i="3"/>
  <c r="BE61" i="3"/>
  <c r="BE24" i="3"/>
  <c r="N64" i="3"/>
  <c r="G25" i="1" l="1"/>
  <c r="G31" i="1" s="1"/>
  <c r="G35" i="1" s="1"/>
  <c r="S28" i="3"/>
  <c r="S81" i="3" s="1"/>
  <c r="U64" i="3"/>
  <c r="BY24" i="3"/>
  <c r="N28" i="3"/>
  <c r="N82" i="3" s="1"/>
  <c r="BK75" i="3"/>
  <c r="AQ75" i="3"/>
  <c r="BK28" i="3"/>
  <c r="U28" i="3"/>
  <c r="AE28" i="3"/>
  <c r="AO75" i="3"/>
  <c r="BM75" i="3"/>
  <c r="BA28" i="3"/>
  <c r="AE64" i="3"/>
  <c r="CG61" i="3"/>
  <c r="BR64" i="3"/>
  <c r="BO64" i="3"/>
  <c r="BA64" i="3"/>
  <c r="BM64" i="3"/>
  <c r="BR75" i="3"/>
  <c r="BO75" i="3"/>
  <c r="AF28" i="3"/>
  <c r="C75" i="3"/>
  <c r="AD75" i="3"/>
  <c r="CI24" i="3"/>
  <c r="CI28" i="3" s="1"/>
  <c r="CI71" i="3" s="1"/>
  <c r="P28" i="3"/>
  <c r="P82" i="3" s="1"/>
  <c r="BV24" i="3"/>
  <c r="BV28" i="3" s="1"/>
  <c r="P64" i="3"/>
  <c r="BX24" i="3"/>
  <c r="BX64" i="3" s="1"/>
  <c r="AD28" i="3"/>
  <c r="AS64" i="3"/>
  <c r="CA24" i="3"/>
  <c r="CA28" i="3" s="1"/>
  <c r="CA71" i="3" s="1"/>
  <c r="W75" i="3"/>
  <c r="CF61" i="3"/>
  <c r="X28" i="3"/>
  <c r="BC28" i="3"/>
  <c r="AF64" i="3"/>
  <c r="W64" i="3"/>
  <c r="BC75" i="3"/>
  <c r="AQ28" i="3"/>
  <c r="X75" i="3"/>
  <c r="AS28" i="3"/>
  <c r="E64" i="3"/>
  <c r="E28" i="3"/>
  <c r="AT64" i="3"/>
  <c r="F64" i="3"/>
  <c r="AT28" i="3"/>
  <c r="F28" i="3"/>
  <c r="F81" i="3" s="1"/>
  <c r="C28" i="3"/>
  <c r="C82" i="3" s="1"/>
  <c r="AO64" i="3"/>
  <c r="E75" i="3"/>
  <c r="V28" i="3"/>
  <c r="AC28" i="3"/>
  <c r="AC75" i="3"/>
  <c r="AC64" i="3"/>
  <c r="BW24" i="3"/>
  <c r="BW75" i="3" s="1"/>
  <c r="V64" i="3"/>
  <c r="CJ24" i="3"/>
  <c r="CJ64" i="3" s="1"/>
  <c r="BJ28" i="3"/>
  <c r="BJ75" i="3"/>
  <c r="BJ64" i="3"/>
  <c r="M64" i="3"/>
  <c r="M28" i="3"/>
  <c r="M75" i="3"/>
  <c r="CE61" i="3"/>
  <c r="CE24" i="3"/>
  <c r="R75" i="3"/>
  <c r="R64" i="3"/>
  <c r="R28" i="3"/>
  <c r="I64" i="3"/>
  <c r="I75" i="3"/>
  <c r="I28" i="3"/>
  <c r="BN75" i="3"/>
  <c r="BN64" i="3"/>
  <c r="BN28" i="3"/>
  <c r="AK64" i="3"/>
  <c r="AK75" i="3"/>
  <c r="AK28" i="3"/>
  <c r="D75" i="3"/>
  <c r="D64" i="3"/>
  <c r="D28" i="3"/>
  <c r="AJ75" i="3"/>
  <c r="AJ64" i="3"/>
  <c r="AJ28" i="3"/>
  <c r="CC61" i="3"/>
  <c r="CC24" i="3"/>
  <c r="AW64" i="3"/>
  <c r="AW75" i="3"/>
  <c r="AW28" i="3"/>
  <c r="H75" i="3"/>
  <c r="H64" i="3"/>
  <c r="H28" i="3"/>
  <c r="T75" i="3"/>
  <c r="T64" i="3"/>
  <c r="T28" i="3"/>
  <c r="BE64" i="3"/>
  <c r="BE28" i="3"/>
  <c r="BE75" i="3"/>
  <c r="S82" i="3"/>
  <c r="AH75" i="3"/>
  <c r="AH64" i="3"/>
  <c r="AH28" i="3"/>
  <c r="O64" i="3"/>
  <c r="O75" i="3"/>
  <c r="O28" i="3"/>
  <c r="AN75" i="3"/>
  <c r="AN64" i="3"/>
  <c r="AN28" i="3"/>
  <c r="AG64" i="3"/>
  <c r="AG75" i="3"/>
  <c r="AG28" i="3"/>
  <c r="BS64" i="3"/>
  <c r="BS75" i="3"/>
  <c r="BS28" i="3"/>
  <c r="L75" i="3"/>
  <c r="L64" i="3"/>
  <c r="L28" i="3"/>
  <c r="Z75" i="3"/>
  <c r="Z64" i="3"/>
  <c r="Z28" i="3"/>
  <c r="J75" i="3"/>
  <c r="J64" i="3"/>
  <c r="J28" i="3"/>
  <c r="B75" i="3"/>
  <c r="B64" i="3"/>
  <c r="B28" i="3"/>
  <c r="AV75" i="3"/>
  <c r="AV64" i="3"/>
  <c r="AV28" i="3"/>
  <c r="AB75" i="3"/>
  <c r="AB64" i="3"/>
  <c r="AB28" i="3"/>
  <c r="AI75" i="3"/>
  <c r="AI64" i="3"/>
  <c r="AI28" i="3"/>
  <c r="BZ61" i="3"/>
  <c r="BZ24" i="3"/>
  <c r="Q64" i="3"/>
  <c r="Q75" i="3"/>
  <c r="Q28" i="3"/>
  <c r="CG64" i="3"/>
  <c r="CG28" i="3"/>
  <c r="CG71" i="3" s="1"/>
  <c r="CG75" i="3"/>
  <c r="N81" i="3"/>
  <c r="AZ75" i="3"/>
  <c r="AZ64" i="3"/>
  <c r="AZ28" i="3"/>
  <c r="BG75" i="3"/>
  <c r="BG64" i="3"/>
  <c r="BG28" i="3"/>
  <c r="BH75" i="3"/>
  <c r="BH64" i="3"/>
  <c r="BH28" i="3"/>
  <c r="G64" i="3"/>
  <c r="G75" i="3"/>
  <c r="G28" i="3"/>
  <c r="BP75" i="3"/>
  <c r="BP64" i="3"/>
  <c r="BP28" i="3"/>
  <c r="BR71" i="3" s="1"/>
  <c r="AX75" i="3"/>
  <c r="AX28" i="3"/>
  <c r="AX64" i="3"/>
  <c r="BL75" i="3"/>
  <c r="BL64" i="3"/>
  <c r="BL28" i="3"/>
  <c r="Y64" i="3"/>
  <c r="Y75" i="3"/>
  <c r="Y28" i="3"/>
  <c r="CK61" i="3"/>
  <c r="CK24" i="3"/>
  <c r="CB61" i="3"/>
  <c r="CB24" i="3"/>
  <c r="AL75" i="3"/>
  <c r="AL64" i="3"/>
  <c r="AL28" i="3"/>
  <c r="AU64" i="3"/>
  <c r="AU75" i="3"/>
  <c r="AU28" i="3"/>
  <c r="BF75" i="3"/>
  <c r="BF64" i="3"/>
  <c r="BF28" i="3"/>
  <c r="BU61" i="3"/>
  <c r="BU24" i="3"/>
  <c r="BY64" i="3"/>
  <c r="BY28" i="3"/>
  <c r="BY71" i="3" s="1"/>
  <c r="BY75" i="3"/>
  <c r="AY75" i="3"/>
  <c r="AY64" i="3"/>
  <c r="AY28" i="3"/>
  <c r="CD61" i="3"/>
  <c r="CD24" i="3"/>
  <c r="AP75" i="3"/>
  <c r="AP64" i="3"/>
  <c r="AP28" i="3"/>
  <c r="AR75" i="3"/>
  <c r="AR64" i="3"/>
  <c r="AR28" i="3"/>
  <c r="CH61" i="3"/>
  <c r="CH24" i="3"/>
  <c r="BB75" i="3"/>
  <c r="BB64" i="3"/>
  <c r="BB28" i="3"/>
  <c r="AM64" i="3"/>
  <c r="AM75" i="3"/>
  <c r="AM28" i="3"/>
  <c r="K75" i="3"/>
  <c r="K64" i="3"/>
  <c r="K28" i="3"/>
  <c r="CF64" i="3"/>
  <c r="CF28" i="3"/>
  <c r="CF71" i="3" s="1"/>
  <c r="CF75" i="3"/>
  <c r="CA75" i="3" l="1"/>
  <c r="CI64" i="3"/>
  <c r="CA64" i="3"/>
  <c r="BW64" i="3"/>
  <c r="BV64" i="3"/>
  <c r="CJ75" i="3"/>
  <c r="CJ28" i="3"/>
  <c r="CJ71" i="3" s="1"/>
  <c r="CI75" i="3"/>
  <c r="BX75" i="3"/>
  <c r="P81" i="3"/>
  <c r="AG71" i="3"/>
  <c r="AF71" i="3"/>
  <c r="X71" i="3"/>
  <c r="BX28" i="3"/>
  <c r="BX71" i="3" s="1"/>
  <c r="BV75" i="3"/>
  <c r="BW28" i="3"/>
  <c r="BW71" i="3" s="1"/>
  <c r="F82" i="3"/>
  <c r="C81" i="3"/>
  <c r="I71" i="3"/>
  <c r="AE71" i="3"/>
  <c r="V71" i="3"/>
  <c r="F71" i="3"/>
  <c r="E81" i="3"/>
  <c r="E82" i="3"/>
  <c r="BK71" i="3"/>
  <c r="BL71" i="3"/>
  <c r="BP71" i="3"/>
  <c r="AB71" i="3"/>
  <c r="Q71" i="3"/>
  <c r="BI71" i="3"/>
  <c r="AU71" i="3"/>
  <c r="BC71" i="3"/>
  <c r="AZ71" i="3"/>
  <c r="BN71" i="3"/>
  <c r="AP71" i="3"/>
  <c r="AL71" i="3"/>
  <c r="AC71" i="3"/>
  <c r="BF71" i="3"/>
  <c r="Y71" i="3"/>
  <c r="AS71" i="3"/>
  <c r="AX71" i="3"/>
  <c r="CK64" i="3"/>
  <c r="CK28" i="3"/>
  <c r="CK71" i="3" s="1"/>
  <c r="CK75" i="3"/>
  <c r="BJ71" i="3"/>
  <c r="BZ64" i="3"/>
  <c r="BZ28" i="3"/>
  <c r="BZ71" i="3" s="1"/>
  <c r="BZ75" i="3"/>
  <c r="AY71" i="3"/>
  <c r="BH71" i="3"/>
  <c r="AM71" i="3"/>
  <c r="CE64" i="3"/>
  <c r="CE28" i="3"/>
  <c r="CE71" i="3" s="1"/>
  <c r="CE75" i="3"/>
  <c r="BE71" i="3"/>
  <c r="BD71" i="3"/>
  <c r="BU64" i="3"/>
  <c r="BU28" i="3"/>
  <c r="BU71" i="3" s="1"/>
  <c r="BU75" i="3"/>
  <c r="BA71" i="3"/>
  <c r="G81" i="3"/>
  <c r="J71" i="3"/>
  <c r="G82" i="3"/>
  <c r="H71" i="3"/>
  <c r="AA71" i="3"/>
  <c r="AK71" i="3"/>
  <c r="BQ71" i="3"/>
  <c r="AT71" i="3"/>
  <c r="BG71" i="3"/>
  <c r="AJ71" i="3"/>
  <c r="AQ71" i="3"/>
  <c r="D82" i="3"/>
  <c r="G71" i="3"/>
  <c r="D81" i="3"/>
  <c r="M81" i="3"/>
  <c r="P71" i="3"/>
  <c r="M82" i="3"/>
  <c r="W71" i="3"/>
  <c r="T81" i="3"/>
  <c r="CH64" i="3"/>
  <c r="CH28" i="3"/>
  <c r="CH71" i="3" s="1"/>
  <c r="CH75" i="3"/>
  <c r="BB71" i="3"/>
  <c r="L82" i="3"/>
  <c r="L81" i="3"/>
  <c r="O71" i="3"/>
  <c r="AH71" i="3"/>
  <c r="AV71" i="3"/>
  <c r="R82" i="3"/>
  <c r="R81" i="3"/>
  <c r="U71" i="3"/>
  <c r="CD64" i="3"/>
  <c r="CD28" i="3"/>
  <c r="CD71" i="3" s="1"/>
  <c r="CD75" i="3"/>
  <c r="AO71" i="3"/>
  <c r="B82" i="3"/>
  <c r="B81" i="3"/>
  <c r="BO71" i="3"/>
  <c r="BM71" i="3"/>
  <c r="Q81" i="3"/>
  <c r="T71" i="3"/>
  <c r="Q82" i="3"/>
  <c r="AW71" i="3"/>
  <c r="AI71" i="3"/>
  <c r="CB64" i="3"/>
  <c r="CB28" i="3"/>
  <c r="CB71" i="3" s="1"/>
  <c r="CB75" i="3"/>
  <c r="BS71" i="3"/>
  <c r="S71" i="3"/>
  <c r="O81" i="3"/>
  <c r="R71" i="3"/>
  <c r="O82" i="3"/>
  <c r="AD71" i="3"/>
  <c r="CC64" i="3"/>
  <c r="CC28" i="3"/>
  <c r="CC71" i="3" s="1"/>
  <c r="CC75" i="3"/>
  <c r="AN71" i="3"/>
  <c r="K82" i="3"/>
  <c r="K81" i="3"/>
  <c r="N71" i="3"/>
  <c r="AR71" i="3"/>
  <c r="J82" i="3"/>
  <c r="M71" i="3"/>
  <c r="J81" i="3"/>
  <c r="H82" i="3"/>
  <c r="K71" i="3"/>
  <c r="H81" i="3"/>
  <c r="I81" i="3"/>
  <c r="L71" i="3"/>
  <c r="I82" i="3"/>
  <c r="Z71" i="3"/>
  <c r="AN68" i="1" l="1"/>
  <c r="AM68" i="1"/>
  <c r="I68" i="1"/>
  <c r="J68" i="1"/>
  <c r="K68" i="1"/>
  <c r="N68" i="1"/>
  <c r="L68" i="1"/>
  <c r="M68" i="1"/>
  <c r="O12" i="2"/>
  <c r="N12" i="2"/>
  <c r="M12" i="2"/>
  <c r="L12" i="2"/>
  <c r="K12" i="2"/>
  <c r="J12" i="2"/>
  <c r="N45" i="1"/>
  <c r="AO47" i="1"/>
  <c r="AN46" i="1"/>
  <c r="M45" i="1"/>
  <c r="L45" i="1"/>
  <c r="K45" i="1"/>
  <c r="J45" i="1"/>
  <c r="I45" i="1"/>
  <c r="AO45" i="1"/>
  <c r="AO19" i="1"/>
  <c r="AO33" i="1"/>
  <c r="H13" i="1"/>
  <c r="AO23" i="1"/>
  <c r="K18" i="1"/>
  <c r="K21" i="1" s="1"/>
  <c r="AN21" i="1"/>
  <c r="AM21" i="1" l="1"/>
  <c r="AM51" i="1" s="1"/>
  <c r="K18" i="2"/>
  <c r="M18" i="2"/>
  <c r="L18" i="2"/>
  <c r="J18" i="2"/>
  <c r="N18" i="2"/>
  <c r="Q34" i="2"/>
  <c r="O18" i="2"/>
  <c r="R34" i="2"/>
  <c r="Q86" i="1"/>
  <c r="AO70" i="1"/>
  <c r="P34" i="2"/>
  <c r="AQ34" i="2" s="1"/>
  <c r="AO48" i="1"/>
  <c r="AO46" i="1"/>
  <c r="AP17" i="1"/>
  <c r="AM15" i="1"/>
  <c r="N34" i="2"/>
  <c r="O34" i="2"/>
  <c r="M34" i="2"/>
  <c r="AN15" i="1"/>
  <c r="AN84" i="1"/>
  <c r="L51" i="1"/>
  <c r="H86" i="1"/>
  <c r="M33" i="2"/>
  <c r="J33" i="2"/>
  <c r="N33" i="2"/>
  <c r="K33" i="2"/>
  <c r="O33" i="2"/>
  <c r="L33" i="2"/>
  <c r="AN12" i="2"/>
  <c r="AN18" i="2" s="1"/>
  <c r="AO12" i="2"/>
  <c r="H51" i="1"/>
  <c r="N15" i="1"/>
  <c r="N84" i="1"/>
  <c r="N51" i="1"/>
  <c r="I12" i="2"/>
  <c r="I18" i="2" s="1"/>
  <c r="AM86" i="1" l="1"/>
  <c r="AP21" i="1"/>
  <c r="AO18" i="2"/>
  <c r="N25" i="1"/>
  <c r="AP25" i="1"/>
  <c r="AM25" i="1"/>
  <c r="AN25" i="1"/>
  <c r="N50" i="1"/>
  <c r="AO33" i="2"/>
  <c r="N24" i="2"/>
  <c r="K24" i="2"/>
  <c r="O24" i="2"/>
  <c r="L24" i="2"/>
  <c r="M24" i="2"/>
  <c r="Q85" i="1"/>
  <c r="AN85" i="1"/>
  <c r="AN86" i="1"/>
  <c r="O86" i="1"/>
  <c r="AP86" i="1" s="1"/>
  <c r="P86" i="1"/>
  <c r="AM88" i="1"/>
  <c r="AN50" i="1"/>
  <c r="AP51" i="1"/>
  <c r="AM50" i="1"/>
  <c r="AM85" i="1"/>
  <c r="M51" i="1"/>
  <c r="AN34" i="2"/>
  <c r="K34" i="2"/>
  <c r="J34" i="2"/>
  <c r="L34" i="2"/>
  <c r="AP34" i="2" s="1"/>
  <c r="I34" i="2"/>
  <c r="J51" i="1"/>
  <c r="M86" i="1"/>
  <c r="I51" i="1"/>
  <c r="L86" i="1"/>
  <c r="I86" i="1"/>
  <c r="J86" i="1"/>
  <c r="K86" i="1"/>
  <c r="AO86" i="1" s="1"/>
  <c r="AN33" i="2"/>
  <c r="I33" i="2"/>
  <c r="AP12" i="2"/>
  <c r="N88" i="1"/>
  <c r="N86" i="1"/>
  <c r="K51" i="1"/>
  <c r="AN88" i="1"/>
  <c r="AN51" i="1"/>
  <c r="AP18" i="2" l="1"/>
  <c r="AP31" i="1"/>
  <c r="AM31" i="1"/>
  <c r="I24" i="2"/>
  <c r="J24" i="2"/>
  <c r="AN24" i="2"/>
  <c r="AO24" i="2"/>
  <c r="AM52" i="1"/>
  <c r="AM87" i="1"/>
  <c r="N31" i="1"/>
  <c r="N87" i="1"/>
  <c r="N52" i="1"/>
  <c r="AP33" i="2"/>
  <c r="AN31" i="1"/>
  <c r="AN87" i="1"/>
  <c r="AN52" i="1"/>
  <c r="AP35" i="1" l="1"/>
  <c r="AM35" i="1"/>
  <c r="AM90" i="1"/>
  <c r="AP24" i="2"/>
  <c r="AP106" i="1"/>
  <c r="AP107" i="1"/>
  <c r="N90" i="1"/>
  <c r="AP39" i="1"/>
  <c r="AP38" i="1"/>
  <c r="N35" i="1"/>
  <c r="Q92" i="1" s="1"/>
  <c r="AN90" i="1"/>
  <c r="AN35" i="1"/>
  <c r="AO14" i="1"/>
  <c r="AO13" i="1"/>
  <c r="AO12" i="1"/>
  <c r="AO9" i="1"/>
  <c r="AO8" i="1"/>
  <c r="AO18" i="1"/>
  <c r="AO17" i="1"/>
  <c r="AO28" i="1"/>
  <c r="AM38" i="1" l="1"/>
  <c r="AM107" i="1"/>
  <c r="AM106" i="1"/>
  <c r="AO21" i="1"/>
  <c r="AM89" i="1"/>
  <c r="AP89" i="1"/>
  <c r="AP109" i="1"/>
  <c r="AP108" i="1"/>
  <c r="AO11" i="1"/>
  <c r="AM39" i="1"/>
  <c r="N106" i="1"/>
  <c r="N107" i="1"/>
  <c r="AN106" i="1"/>
  <c r="AN107" i="1"/>
  <c r="N39" i="1"/>
  <c r="AO82" i="1"/>
  <c r="AO83" i="1"/>
  <c r="N38" i="1"/>
  <c r="Q91" i="1" s="1"/>
  <c r="H15" i="1"/>
  <c r="I84" i="1"/>
  <c r="J84" i="1"/>
  <c r="K84" i="1"/>
  <c r="AO79" i="1"/>
  <c r="I15" i="1"/>
  <c r="AN39" i="1"/>
  <c r="AN38" i="1"/>
  <c r="H84" i="1"/>
  <c r="J15" i="1"/>
  <c r="K15" i="1"/>
  <c r="L15" i="1"/>
  <c r="L84" i="1"/>
  <c r="M15" i="1"/>
  <c r="M84" i="1"/>
  <c r="AM108" i="1" l="1"/>
  <c r="AM109" i="1"/>
  <c r="AN89" i="1"/>
  <c r="AN109" i="1"/>
  <c r="AN108" i="1"/>
  <c r="N108" i="1"/>
  <c r="N109" i="1"/>
  <c r="I25" i="1"/>
  <c r="K25" i="1"/>
  <c r="H25" i="1"/>
  <c r="H52" i="1" s="1"/>
  <c r="J25" i="1"/>
  <c r="M50" i="1"/>
  <c r="M25" i="1"/>
  <c r="L50" i="1"/>
  <c r="L25" i="1"/>
  <c r="N89" i="1"/>
  <c r="AO84" i="1"/>
  <c r="P85" i="1"/>
  <c r="AO15" i="1"/>
  <c r="O85" i="1"/>
  <c r="AP85" i="1" s="1"/>
  <c r="H50" i="1"/>
  <c r="H88" i="1"/>
  <c r="I88" i="1"/>
  <c r="I50" i="1"/>
  <c r="L85" i="1"/>
  <c r="J85" i="1"/>
  <c r="I85" i="1"/>
  <c r="H85" i="1"/>
  <c r="N85" i="1"/>
  <c r="K50" i="1"/>
  <c r="K88" i="1"/>
  <c r="M85" i="1"/>
  <c r="J50" i="1"/>
  <c r="J88" i="1"/>
  <c r="K85" i="1"/>
  <c r="AO85" i="1" s="1"/>
  <c r="M88" i="1"/>
  <c r="L88" i="1"/>
  <c r="AO51" i="1"/>
  <c r="J31" i="1" l="1"/>
  <c r="J35" i="1" s="1"/>
  <c r="AO25" i="1"/>
  <c r="I87" i="1"/>
  <c r="H31" i="1"/>
  <c r="H87" i="1"/>
  <c r="AO50" i="1"/>
  <c r="AP50" i="1"/>
  <c r="AP88" i="1"/>
  <c r="I52" i="1"/>
  <c r="I31" i="1"/>
  <c r="AO88" i="1"/>
  <c r="J87" i="1"/>
  <c r="J52" i="1"/>
  <c r="K31" i="1"/>
  <c r="K87" i="1"/>
  <c r="K52" i="1"/>
  <c r="M31" i="1"/>
  <c r="M87" i="1"/>
  <c r="M52" i="1"/>
  <c r="L31" i="1"/>
  <c r="L87" i="1"/>
  <c r="L52" i="1"/>
  <c r="J90" i="1" l="1"/>
  <c r="AO52" i="1"/>
  <c r="AO31" i="1"/>
  <c r="H90" i="1"/>
  <c r="J107" i="1"/>
  <c r="J106" i="1"/>
  <c r="H35" i="1"/>
  <c r="AP52" i="1"/>
  <c r="AP87" i="1"/>
  <c r="I90" i="1"/>
  <c r="I35" i="1"/>
  <c r="M90" i="1"/>
  <c r="L90" i="1"/>
  <c r="K90" i="1"/>
  <c r="AO87" i="1"/>
  <c r="K35" i="1"/>
  <c r="J39" i="1"/>
  <c r="J38" i="1"/>
  <c r="M35" i="1"/>
  <c r="P92" i="1" s="1"/>
  <c r="L35" i="1"/>
  <c r="O92" i="1" l="1"/>
  <c r="AP92" i="1" s="1"/>
  <c r="K92" i="1"/>
  <c r="AO92" i="1" s="1"/>
  <c r="L92" i="1"/>
  <c r="N92" i="1"/>
  <c r="M92" i="1"/>
  <c r="J109" i="1"/>
  <c r="J108" i="1"/>
  <c r="AO35" i="1"/>
  <c r="AO106" i="1" s="1"/>
  <c r="I39" i="1"/>
  <c r="I107" i="1"/>
  <c r="I106" i="1"/>
  <c r="M106" i="1"/>
  <c r="M107" i="1"/>
  <c r="K106" i="1"/>
  <c r="K107" i="1"/>
  <c r="H39" i="1"/>
  <c r="H107" i="1"/>
  <c r="H106" i="1"/>
  <c r="J89" i="1"/>
  <c r="L106" i="1"/>
  <c r="L107" i="1"/>
  <c r="H38" i="1"/>
  <c r="I38" i="1"/>
  <c r="AP90" i="1"/>
  <c r="AO90" i="1"/>
  <c r="L38" i="1"/>
  <c r="L39" i="1"/>
  <c r="M39" i="1"/>
  <c r="M38" i="1"/>
  <c r="P91" i="1" s="1"/>
  <c r="K38" i="1"/>
  <c r="K39" i="1"/>
  <c r="N91" i="1" l="1"/>
  <c r="AO38" i="1"/>
  <c r="AO89" i="1" s="1"/>
  <c r="AO39" i="1"/>
  <c r="AO107" i="1"/>
  <c r="K91" i="1"/>
  <c r="AO91" i="1" s="1"/>
  <c r="O91" i="1"/>
  <c r="AP91" i="1" s="1"/>
  <c r="L91" i="1"/>
  <c r="M91" i="1"/>
  <c r="L108" i="1"/>
  <c r="L109" i="1"/>
  <c r="M108" i="1"/>
  <c r="M109" i="1"/>
  <c r="H89" i="1"/>
  <c r="H109" i="1"/>
  <c r="H108" i="1"/>
  <c r="I109" i="1"/>
  <c r="I108" i="1"/>
  <c r="K109" i="1"/>
  <c r="K108" i="1"/>
  <c r="I89" i="1"/>
  <c r="M89" i="1"/>
  <c r="K89" i="1"/>
  <c r="L89" i="1"/>
  <c r="AO109" i="1" l="1"/>
  <c r="AO108" i="1"/>
  <c r="AO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8" authorId="0" shapeId="0" xr:uid="{00000000-0006-0000-0100-000001000000}">
      <text>
        <r>
          <rPr>
            <b/>
            <sz val="9"/>
            <color indexed="81"/>
            <rFont val="Tahoma"/>
            <family val="2"/>
          </rPr>
          <t>Author:</t>
        </r>
        <r>
          <rPr>
            <sz val="9"/>
            <color indexed="81"/>
            <rFont val="Tahoma"/>
            <family val="2"/>
          </rPr>
          <t xml:space="preserve">
The revaluation of Tink share did not give rise to any tax expense</t>
        </r>
      </text>
    </comment>
    <comment ref="U38" authorId="0" shapeId="0" xr:uid="{BA14B9E5-CDF0-4DFD-8F0F-8C2E2E4EE94E}">
      <text>
        <r>
          <rPr>
            <b/>
            <sz val="9"/>
            <color indexed="81"/>
            <rFont val="Tahoma"/>
            <family val="2"/>
          </rPr>
          <t>Author:</t>
        </r>
        <r>
          <rPr>
            <sz val="9"/>
            <color indexed="81"/>
            <rFont val="Tahoma"/>
            <family val="2"/>
          </rPr>
          <t xml:space="preserve">
The FSA sanction of 100 MSEK is not tax deductable</t>
        </r>
      </text>
    </comment>
    <comment ref="AE38" authorId="0" shapeId="0" xr:uid="{4E4CF149-CC57-4EE2-9872-587458F4586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O38" authorId="0" shapeId="0" xr:uid="{00000000-0006-0000-0100-000003000000}">
      <text>
        <r>
          <rPr>
            <b/>
            <sz val="9"/>
            <color indexed="81"/>
            <rFont val="Tahoma"/>
            <family val="2"/>
          </rPr>
          <t>Author:</t>
        </r>
        <r>
          <rPr>
            <sz val="9"/>
            <color indexed="81"/>
            <rFont val="Tahoma"/>
            <family val="2"/>
          </rPr>
          <t xml:space="preserve">
The revaluation of Tink share did not give rise to any tax expense</t>
        </r>
      </text>
    </comment>
    <comment ref="AR38" authorId="0" shapeId="0" xr:uid="{B2609B16-B926-4D7F-B356-562DA45E4F1B}">
      <text>
        <r>
          <rPr>
            <b/>
            <sz val="9"/>
            <color indexed="81"/>
            <rFont val="Tahoma"/>
            <family val="2"/>
          </rPr>
          <t>Author:</t>
        </r>
        <r>
          <rPr>
            <sz val="9"/>
            <color indexed="81"/>
            <rFont val="Tahoma"/>
            <family val="2"/>
          </rPr>
          <t xml:space="preserve">
The FSA sanction of 100 MSEK is not tax deductable</t>
        </r>
      </text>
    </comment>
    <comment ref="AT38" authorId="0" shapeId="0" xr:uid="{654CE8A1-3BE7-4D14-AFF4-8BC812FEE182}">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H39" authorId="0" shapeId="0" xr:uid="{00000000-0006-0000-0100-000004000000}">
      <text>
        <r>
          <rPr>
            <b/>
            <sz val="9"/>
            <color indexed="81"/>
            <rFont val="Tahoma"/>
            <family val="2"/>
          </rPr>
          <t>Author:</t>
        </r>
        <r>
          <rPr>
            <sz val="9"/>
            <color indexed="81"/>
            <rFont val="Tahoma"/>
            <family val="2"/>
          </rPr>
          <t xml:space="preserve">
The revaluation of Tink share did not give rise to any tax expense</t>
        </r>
      </text>
    </comment>
    <comment ref="U39" authorId="0" shapeId="0" xr:uid="{618B6760-960F-48A8-8903-A5F6AE1769B3}">
      <text>
        <r>
          <rPr>
            <b/>
            <sz val="9"/>
            <color indexed="81"/>
            <rFont val="Tahoma"/>
            <family val="2"/>
          </rPr>
          <t>Author:</t>
        </r>
        <r>
          <rPr>
            <sz val="9"/>
            <color indexed="81"/>
            <rFont val="Tahoma"/>
            <family val="2"/>
          </rPr>
          <t xml:space="preserve">
The FSA sanction of 100 MSEK is not tax deductable</t>
        </r>
      </text>
    </comment>
    <comment ref="AE39" authorId="0" shapeId="0" xr:uid="{B79B23A0-B192-4364-96E4-D586B042405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O39" authorId="0" shapeId="0" xr:uid="{00000000-0006-0000-0100-000006000000}">
      <text>
        <r>
          <rPr>
            <b/>
            <sz val="9"/>
            <color indexed="81"/>
            <rFont val="Tahoma"/>
            <family val="2"/>
          </rPr>
          <t>Author:</t>
        </r>
        <r>
          <rPr>
            <sz val="9"/>
            <color indexed="81"/>
            <rFont val="Tahoma"/>
            <family val="2"/>
          </rPr>
          <t xml:space="preserve">
The revaluation of Tink share did not give rise to any tax expense</t>
        </r>
      </text>
    </comment>
    <comment ref="AR39" authorId="0" shapeId="0" xr:uid="{02D6E46B-EDE5-4160-88ED-A1C26B94AE2B}">
      <text>
        <r>
          <rPr>
            <b/>
            <sz val="9"/>
            <color indexed="81"/>
            <rFont val="Tahoma"/>
            <family val="2"/>
          </rPr>
          <t>Author:</t>
        </r>
        <r>
          <rPr>
            <sz val="9"/>
            <color indexed="81"/>
            <rFont val="Tahoma"/>
            <family val="2"/>
          </rPr>
          <t xml:space="preserve">
The FSA sanction of 100 MSEK is not tax deductable</t>
        </r>
      </text>
    </comment>
    <comment ref="AT39" authorId="0" shapeId="0" xr:uid="{C0A50DEE-39EF-468A-8A13-CD0484242D62}">
      <text>
        <r>
          <rPr>
            <b/>
            <sz val="9"/>
            <color rgb="FF000000"/>
            <rFont val="Tahoma"/>
            <family val="2"/>
          </rPr>
          <t>Author:</t>
        </r>
        <r>
          <rPr>
            <sz val="9"/>
            <color rgb="FF000000"/>
            <rFont val="Tahoma"/>
            <family val="2"/>
          </rPr>
          <t xml:space="preserve">
</t>
        </r>
        <r>
          <rPr>
            <sz val="9"/>
            <color rgb="FF000000"/>
            <rFont val="Tahoma"/>
            <family val="2"/>
          </rPr>
          <t>Impairment of goodwill related to divestment of unsecured portfolio of 63,715 MSEK is not tax deductable</t>
        </r>
      </text>
    </comment>
  </commentList>
</comments>
</file>

<file path=xl/sharedStrings.xml><?xml version="1.0" encoding="utf-8"?>
<sst xmlns="http://schemas.openxmlformats.org/spreadsheetml/2006/main" count="882" uniqueCount="401">
  <si>
    <t>Key figures - Group</t>
  </si>
  <si>
    <t>Net transaction related income</t>
  </si>
  <si>
    <t>Net interest income</t>
  </si>
  <si>
    <t>Net financial transactions</t>
  </si>
  <si>
    <t>Other income</t>
  </si>
  <si>
    <t>Total income</t>
  </si>
  <si>
    <t>General administrative expenses</t>
  </si>
  <si>
    <t>Depreciation and amortization</t>
  </si>
  <si>
    <t>Other operating expenses</t>
  </si>
  <si>
    <t>Total expenses</t>
  </si>
  <si>
    <t>Net credit losses</t>
  </si>
  <si>
    <t>Pre-tax profit</t>
  </si>
  <si>
    <t>Income Statement, adjusted (SEKm)</t>
  </si>
  <si>
    <t>Tax</t>
  </si>
  <si>
    <t>Net profit</t>
  </si>
  <si>
    <t>Q1 2019</t>
  </si>
  <si>
    <t>Q2 2019</t>
  </si>
  <si>
    <t>Q3 2019</t>
  </si>
  <si>
    <t>Q4 2019</t>
  </si>
  <si>
    <t>Q1 2020</t>
  </si>
  <si>
    <t>Q2 2020</t>
  </si>
  <si>
    <t>Q3 2020</t>
  </si>
  <si>
    <t>Customer data</t>
  </si>
  <si>
    <t>Number of customers</t>
  </si>
  <si>
    <t>Net savings SEK billion</t>
  </si>
  <si>
    <t>Annualised income per customer SEK</t>
  </si>
  <si>
    <t>Annualised operating expenses per customer SEK</t>
  </si>
  <si>
    <t xml:space="preserve">Annualised operating profit per customer SEK </t>
  </si>
  <si>
    <t>Savings capital distribution (MSEK)</t>
  </si>
  <si>
    <t>Brokerage</t>
  </si>
  <si>
    <t>Funds</t>
  </si>
  <si>
    <t>Deposits</t>
  </si>
  <si>
    <t>Total savings capital</t>
  </si>
  <si>
    <t>Lending data (MSEK)</t>
  </si>
  <si>
    <t>Margin lending</t>
  </si>
  <si>
    <t>Mortgages</t>
  </si>
  <si>
    <t>Unsecured loans</t>
  </si>
  <si>
    <t>Total Lending</t>
  </si>
  <si>
    <t>o/w adjusted for pledged cash and cash equivalents</t>
  </si>
  <si>
    <t>Net deposits / Total savings capital</t>
  </si>
  <si>
    <t>Lending / Deposits</t>
  </si>
  <si>
    <t>Credit losses / lending</t>
  </si>
  <si>
    <t>Trading data</t>
  </si>
  <si>
    <t>Number of trades</t>
  </si>
  <si>
    <t xml:space="preserve">  whereof cross border trades </t>
  </si>
  <si>
    <t>Traded value (cash market) MSEK</t>
  </si>
  <si>
    <t>Trading days</t>
  </si>
  <si>
    <t>Trades per customer and day</t>
  </si>
  <si>
    <t>Net brokerage income per trade</t>
  </si>
  <si>
    <t xml:space="preserve">  o/w cross border trades </t>
  </si>
  <si>
    <t>Income Statement ratios (adjusted)</t>
  </si>
  <si>
    <t>Transaction related income / Brokerage capital</t>
  </si>
  <si>
    <t>Net commission income / (Brokerage &amp; Fund Capital)</t>
  </si>
  <si>
    <t>Total income / Savings Capital</t>
  </si>
  <si>
    <t xml:space="preserve">Expenses excl credit losses / Savings Capital </t>
  </si>
  <si>
    <t>Operating margin</t>
  </si>
  <si>
    <t>Profit margin</t>
  </si>
  <si>
    <t>Tax rate</t>
  </si>
  <si>
    <t>Other financial data</t>
  </si>
  <si>
    <t>Equity, MSEK</t>
  </si>
  <si>
    <t>Total Capital ratio, consolidated situation</t>
  </si>
  <si>
    <t>Share data</t>
  </si>
  <si>
    <t>Share price, SEK</t>
  </si>
  <si>
    <t>Number of outstanding shares</t>
  </si>
  <si>
    <t>Market capitalisation, tSEK</t>
  </si>
  <si>
    <t>Dividend per share, SEK</t>
  </si>
  <si>
    <t>Average number of shares before dilution</t>
  </si>
  <si>
    <t>Average number of shares after dilution</t>
  </si>
  <si>
    <t>Employee data</t>
  </si>
  <si>
    <t>Number of full-time employees at end of period</t>
  </si>
  <si>
    <t>Please note: A transfer of the resolution fee has been made. It is now reported as interest expenses and has been moved from General administrative expenses. The historical numbers have also been adjusted.</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</si>
  <si>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</si>
  <si>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</si>
  <si>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</si>
  <si>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</si>
  <si>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</si>
  <si>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</si>
  <si>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</si>
  <si>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</si>
  <si>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</si>
  <si>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</si>
  <si>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</si>
  <si>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</si>
  <si>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</si>
  <si>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</si>
  <si>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</si>
  <si>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</si>
  <si>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</si>
  <si>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</si>
  <si>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</si>
  <si>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</si>
  <si>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</si>
  <si>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</si>
  <si>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</si>
  <si>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</si>
  <si>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</si>
  <si>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</si>
  <si>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</si>
  <si>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</si>
  <si>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</si>
  <si>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</si>
  <si>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</si>
  <si>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</si>
  <si>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</si>
  <si>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</si>
  <si>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</si>
  <si>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</si>
  <si>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</si>
  <si>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</si>
  <si>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</si>
  <si>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</si>
  <si>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</si>
  <si>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</si>
  <si>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</si>
  <si>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</si>
  <si>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</si>
  <si>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</si>
  <si>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</si>
  <si>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</si>
  <si>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</si>
  <si>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</si>
  <si>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</si>
  <si>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</si>
  <si>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</si>
  <si>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</si>
  <si>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</si>
  <si>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</si>
  <si>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</si>
  <si>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</si>
  <si>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</si>
  <si>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</si>
  <si>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</si>
  <si>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</si>
  <si>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</si>
  <si>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</si>
  <si>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P&amp;L, MSEK</t>
  </si>
  <si>
    <t>Commission income</t>
  </si>
  <si>
    <t>Commission expenses</t>
  </si>
  <si>
    <t>Net commission income</t>
  </si>
  <si>
    <t xml:space="preserve">   whereof non trading related commission income</t>
  </si>
  <si>
    <t>Interest income</t>
  </si>
  <si>
    <t>Interest expenses</t>
  </si>
  <si>
    <t>Net result of financial transactions</t>
  </si>
  <si>
    <t>Other operating income</t>
  </si>
  <si>
    <t>Taxes</t>
  </si>
  <si>
    <t>Account data</t>
  </si>
  <si>
    <t>Number of active customers</t>
  </si>
  <si>
    <t>Number of active accounts</t>
  </si>
  <si>
    <t>Total savings capital, MSEK</t>
  </si>
  <si>
    <t>Average account value, SEK</t>
  </si>
  <si>
    <t>Average yearly income per account, SEK</t>
  </si>
  <si>
    <t>Average yearly operating expenses per account, SEK</t>
  </si>
  <si>
    <t xml:space="preserve">Annualised operating profit per account, SEK </t>
  </si>
  <si>
    <t>Deposits, MSEK</t>
  </si>
  <si>
    <t>Lending, MSEK</t>
  </si>
  <si>
    <t>Net deposits, MSEK</t>
  </si>
  <si>
    <t>Daily Average commission, MSEK</t>
  </si>
  <si>
    <t>Daily Average traded value (cash market) MSEK</t>
  </si>
  <si>
    <t xml:space="preserve">P/L ratios </t>
  </si>
  <si>
    <t>Net commission income / Savings capital</t>
  </si>
  <si>
    <t xml:space="preserve">  whereof non trading related commission income</t>
  </si>
  <si>
    <t>Net interest income / Savings capital</t>
  </si>
  <si>
    <t>Other income /  Savings Capital</t>
  </si>
  <si>
    <t>Cost coverage (Non-transaction commission income / expenses</t>
  </si>
  <si>
    <t>Return on equity, annual</t>
  </si>
  <si>
    <t>Capital adequacy ratio %</t>
  </si>
  <si>
    <t>-</t>
  </si>
  <si>
    <t>Capital adequacy ratio (Basel II)</t>
  </si>
  <si>
    <t>Basic earnings per share before dilution, SEK</t>
  </si>
  <si>
    <t>Basic earnings per share after dilution, SEK</t>
  </si>
  <si>
    <t>Cost / income ratio (expenses before credit losses)</t>
  </si>
  <si>
    <r>
      <rPr>
        <sz val="8"/>
        <rFont val="Nordnet Sans"/>
      </rPr>
      <t xml:space="preserve">Net deposits / </t>
    </r>
    <r>
      <rPr>
        <sz val="8"/>
        <color indexed="63"/>
        <rFont val="Nordnet Sans"/>
      </rPr>
      <t>Total savings capital</t>
    </r>
  </si>
  <si>
    <t>Adjusted total income</t>
  </si>
  <si>
    <t>Effective tax rate</t>
  </si>
  <si>
    <t>2016 Q4</t>
  </si>
  <si>
    <t>2017 Q4</t>
  </si>
  <si>
    <t>Statutory net profit</t>
  </si>
  <si>
    <t>Savings ratio</t>
  </si>
  <si>
    <t>Financial measures</t>
  </si>
  <si>
    <t>Description</t>
  </si>
  <si>
    <t>Reason for use of the measure</t>
  </si>
  <si>
    <t>Adjusted operating expenses shows operating expenses incurred by the Group before items affecting comparability between periods.</t>
  </si>
  <si>
    <t>Adjusted operating profit before tax in relation to operating income.</t>
  </si>
  <si>
    <t>Adjusted operating margin for the period margin shows profitability generated by the Group before items affecting comparability between periods.</t>
  </si>
  <si>
    <t>Adjusted operating profit for the period shows profitability generated by the Group before items affecting comparability between periods.</t>
  </si>
  <si>
    <t>Cash deposits at end of period</t>
  </si>
  <si>
    <t>Deposits including deposits attributable to liabilities in the insurance business at end of period.</t>
  </si>
  <si>
    <t>Cash deposits at end of period evaluates the Group's liquidity position.</t>
  </si>
  <si>
    <t>CET1 ratio</t>
  </si>
  <si>
    <t>Common Equity Tier 1 capital divided by total risk-weighted exposure amount.</t>
  </si>
  <si>
    <t>CET1 ratio evaluates the Group's capital position.</t>
  </si>
  <si>
    <t>Cost/income ratio</t>
  </si>
  <si>
    <t>Cost/income benchmarks the reported cost base in relation to the income it generates.</t>
  </si>
  <si>
    <t>Common Equity Tier 1 capital</t>
  </si>
  <si>
    <t>Equity excluding proposed dividend, deferred taxes and intangible assets and some further adjustments in accordance with the EU capital requirements regulation no. 575/2013 (CRR) and EU 241/2014.</t>
  </si>
  <si>
    <t>Common Equity Tier 1 capital evaluates the Group's capital position.</t>
  </si>
  <si>
    <t>Cost margin (excl. Credit losses)</t>
  </si>
  <si>
    <t>The ratio shows scalability and cost efficiency of the platform.</t>
  </si>
  <si>
    <t>Customer Growth</t>
  </si>
  <si>
    <t>The annual growth rate of customers during the period.</t>
  </si>
  <si>
    <t>Customer growth evaluates the Group's growth rate regarding customers.</t>
  </si>
  <si>
    <t>Earnings per share</t>
  </si>
  <si>
    <t>Earnings per share evaluates the Group's profit generation capability per share.</t>
  </si>
  <si>
    <t>Leverage ratio</t>
  </si>
  <si>
    <t>Leverage ratio evaluates the Group's capital position.</t>
  </si>
  <si>
    <t>Lending at end of period</t>
  </si>
  <si>
    <t>Lending to the public at the end of the period.</t>
  </si>
  <si>
    <t>Lending at end of period evaluates the principal amount outstanding in the Group's lending operations.</t>
  </si>
  <si>
    <t>Lending excluding pledged cash and cash equivalents</t>
  </si>
  <si>
    <t>Lending to the public, excluding lending through "account credits" that are fully covered by pledged cash and cash equivalents on endowment insurance plans and investment savings accounts (ISKs), where the lending rate applied to the credits corresponds to the deposit rate on the pledged cash and cash equivalents.</t>
  </si>
  <si>
    <t>Lending excluding pledged cash and cash equivalents evaluates the principal amount outstanding in the Group's lending operations.</t>
  </si>
  <si>
    <t>Lending/deposits</t>
  </si>
  <si>
    <t>Lending to the general public as a percentage of deposits from the public.</t>
  </si>
  <si>
    <t>Lending/deposits evaluates the relationship between the Group's lending in relation to its deposits</t>
  </si>
  <si>
    <t>Net savings</t>
  </si>
  <si>
    <t>New deposits of cash and cash equivalents and securities, less withdrawals of cash and cash equivalents and securities.</t>
  </si>
  <si>
    <t>Net savings demonstrates the growth of savings capital excluding the impact</t>
  </si>
  <si>
    <t>Number of customers evaluates the size of the customer base from which the Group generates revenue.</t>
  </si>
  <si>
    <t>Number of full-time employees at the end of the period, including fixed-term employees and excluding employees on parental leave or other leave.</t>
  </si>
  <si>
    <t>Number of full-time employees at end of period evaluates the Group's scalability of business over time.</t>
  </si>
  <si>
    <t>A registered transaction on the stock exchange or in the marketplace. Orders sometimes involve several trades.</t>
  </si>
  <si>
    <t>Number of trades evaluates the underlying volumes in the commissionbased business.</t>
  </si>
  <si>
    <t>Number of trading days</t>
  </si>
  <si>
    <t>Number of days in a period when the relevant stock exchanges are open.</t>
  </si>
  <si>
    <t>Number of trading days evaluates the magnitude of trading opportunities provided to the customers.</t>
  </si>
  <si>
    <t>Operating expenses</t>
  </si>
  <si>
    <t>Expenses for operations, excluding credit losses.</t>
  </si>
  <si>
    <t>Operating expenses evaluates the company's cost discipline.</t>
  </si>
  <si>
    <t>Operating profit in relation to operating income.</t>
  </si>
  <si>
    <t>Operating margin benchmarks the reported profitability generated by the Group between the periods.</t>
  </si>
  <si>
    <t>Capital base</t>
  </si>
  <si>
    <t>The sum of Common Tier 1 capital and Tier 2 capital.</t>
  </si>
  <si>
    <t>Own funds evaluate the Group's capital position.</t>
  </si>
  <si>
    <t>Pay-out ratio</t>
  </si>
  <si>
    <t>Dividends during the period as a percentage of the statutory profit for the period.</t>
  </si>
  <si>
    <t>Pay-out ratio evaluates how much of the Group's profits are distributed as dividends per year.</t>
  </si>
  <si>
    <t>Profit for the period in relation to operating income for the period.</t>
  </si>
  <si>
    <t>Profit margin provides an overview of the profitability of the Group relative to operating income.</t>
  </si>
  <si>
    <t>Evaluates revenue generated from savings capital.</t>
  </si>
  <si>
    <t>Return on shareholders' equity</t>
  </si>
  <si>
    <t>Return on shareholders' equity evaluates the Group's profitability in relation to its capital base.</t>
  </si>
  <si>
    <t>Savings capital</t>
  </si>
  <si>
    <t>Total of cash and cash equivalents, the value of funds and value of securities for all active accounts.</t>
  </si>
  <si>
    <t>Savings capital evaluates the basis from which the Group directly and indirectly generates revenue.</t>
  </si>
  <si>
    <t>Number of trades / day</t>
  </si>
  <si>
    <t>Traded value cash market</t>
  </si>
  <si>
    <t>Cash market refers to trade in shares, warrants, ETFs, certificates, bonds and similar instruments.</t>
  </si>
  <si>
    <t>Traded value cash market evaluates the underlying magnitude of trades.</t>
  </si>
  <si>
    <t>Total capital ratio</t>
  </si>
  <si>
    <t>Own funds in relation to total riskweighted exposure amount.</t>
  </si>
  <si>
    <t>Total capital ratio evaluates the Group's capital position.</t>
  </si>
  <si>
    <t xml:space="preserve">Number of cross border trades </t>
  </si>
  <si>
    <t>A registered transaction on the stock exchange or in the marketplace outside the customer's country of origin. Orders sometimes involve several trades.</t>
  </si>
  <si>
    <t>Net savings over last twelve months in relation to savings capital twelve months ago</t>
  </si>
  <si>
    <t>Net transaction related income in relation to number of transactions</t>
  </si>
  <si>
    <t>Net commission income in relation to brokerage and fund capital</t>
  </si>
  <si>
    <t>Rate at which pre-tax profits are taxed</t>
  </si>
  <si>
    <t>Net transaction related income in relation to brokerage capital</t>
  </si>
  <si>
    <t>Deposits from the public</t>
  </si>
  <si>
    <t>Market value of shares, derivatives, bonds and similar instruments</t>
  </si>
  <si>
    <t>Market value of mutual funds and Danish investment funds</t>
  </si>
  <si>
    <t>Income in relation to savings capital</t>
  </si>
  <si>
    <t>Net commission income / (Brokerage &amp; Fund Capital), annualised</t>
  </si>
  <si>
    <t>Transaction related income / Brokerage capital, annualised</t>
  </si>
  <si>
    <t>Items affecting comparability, income</t>
  </si>
  <si>
    <t>Items affecting comparability, expenses</t>
  </si>
  <si>
    <t>Profit before tax for the period adjusted for items affecting comparability</t>
  </si>
  <si>
    <t>Total expenses before credit losses adjusted for items affecting comparability during the period.</t>
  </si>
  <si>
    <t>Items affecting comparability</t>
  </si>
  <si>
    <t>Key figures - Sweden</t>
  </si>
  <si>
    <t>Key figures - Norway</t>
  </si>
  <si>
    <t>Key figures - Denmark</t>
  </si>
  <si>
    <t>Key figures - Finland</t>
  </si>
  <si>
    <t>Adjusted operating expenses excluding credit losses in relation to adjusted operating income.</t>
  </si>
  <si>
    <t>Adjusted operating expenses before credit losses as a percentage of average savings capital during the period.</t>
  </si>
  <si>
    <t>Average savings capital per customer</t>
  </si>
  <si>
    <t>Items affecting comparability means items that are reported separately due to their character and amount.</t>
  </si>
  <si>
    <t>Adjustment for items affecting comparability shows the ongoing operations of the Group's business</t>
  </si>
  <si>
    <t>Expenses excl credit losses / Savings Capital</t>
  </si>
  <si>
    <t>Effective tax rate (not adjusted)</t>
  </si>
  <si>
    <t>Tier 1 capital as a percentage of total exposure</t>
  </si>
  <si>
    <t>Number of full-time equivalents at end of period</t>
  </si>
  <si>
    <t>Operating income adjusted for items affecting comparibility during the period</t>
  </si>
  <si>
    <t>Adjusted operating income shows operating income incurred by the Group before items affecting comparability between periods.</t>
  </si>
  <si>
    <t>Defined as the profit after tax adjusted for items affecting comparability. Items affecting comparability have been illustratively taxed at an assumed tax rate of 20% to the extent that they are tax deductible and/or give rise to a tax expense.</t>
  </si>
  <si>
    <t>Adjusted income in relation to average customer base over the period</t>
  </si>
  <si>
    <t>Adjusted operating expenses before credit losses in relation to average customer base over the period</t>
  </si>
  <si>
    <t>Adjusted operting profit before credit losses in relation to average customer base over the period</t>
  </si>
  <si>
    <t>Average savings capital per customer - last 12 months</t>
  </si>
  <si>
    <t>Adjusted net profit for the period shows profitability generated by the Group before items affecting comparability between periods.</t>
  </si>
  <si>
    <t>Adjusted operating expenses</t>
  </si>
  <si>
    <t>Annualised profit per customer measures the profitability in relation to number of customers</t>
  </si>
  <si>
    <t>Annualised income per customer measures the income in relation to number of customers</t>
  </si>
  <si>
    <t>Annualised operating expenses per customer measures the operating expenses in relation to number of customers</t>
  </si>
  <si>
    <t>Effective tax rate measures the rate at which the Group's pre-tax profits are taxed</t>
  </si>
  <si>
    <t>Adjusted annualised operating expenses  over average savings capital during the period.</t>
  </si>
  <si>
    <t>Measures customers' investment in shares, derivatives, bonds and similar instruments</t>
  </si>
  <si>
    <t>Measures customers' investment in funds</t>
  </si>
  <si>
    <t>Measures the margin per transaction</t>
  </si>
  <si>
    <t>Measures the commission margin on customers' brokerage and fund capital</t>
  </si>
  <si>
    <t>Measuers the proportion of cross border transactions in relation to total transactions</t>
  </si>
  <si>
    <t>Savings ratio evaluates the proportion of net savings in relation to savings capital at beginning of the period</t>
  </si>
  <si>
    <t>Evaluates the margin on brokerage capital</t>
  </si>
  <si>
    <t>Operating expenses / Savings Capital - last twelve months</t>
  </si>
  <si>
    <t>Defined as the profit after tax adjusted for non-recurring items as well as amortisation of intangible assets due to PPA. Non-recurring items have been illustratively taxed at an assumed tax rate of 20% to the extent that they are tax deductible and/or give rise to a tax expense. The purchase price allocation amortisation is not tax deductible and has not been illustratively taxed.</t>
  </si>
  <si>
    <t>Annualised income for the relevant period divided by average quarterly savings capital over the same period (calculated as the average quarterly savings capital including the beginning of period figure as well as the individual ending of period quarterly figures within the relevant period).</t>
  </si>
  <si>
    <t>Average quarterly savings capital per customer over the relevant period (calculated as the average quarterly savings capital per customer including the beginning of period figure as well as the individual ending of period quarterly figures within the relevant period).</t>
  </si>
  <si>
    <t>Income in relation to savings capital - last twelve months</t>
  </si>
  <si>
    <t>o/w intangible assets</t>
  </si>
  <si>
    <t>o/w amortization of intangible assets due to PPA</t>
  </si>
  <si>
    <t>Adjusted operating profit</t>
  </si>
  <si>
    <t>Statutory operating profit</t>
  </si>
  <si>
    <t>Adjusted net profit pre items affecting comparability (net of tax)</t>
  </si>
  <si>
    <t>Average savings capital per customer - last twelve months</t>
  </si>
  <si>
    <t>Adjusted net profit for the period shows profitability generated by the Group before items affecting comparability as well as amortisation of intangible assets due to PPA between periods.</t>
  </si>
  <si>
    <t xml:space="preserve">Average savings capital per customer shows the development for the Group in the average amount of savings capital per customer between periods. </t>
  </si>
  <si>
    <t>Return on equity excluding intangible assets evaluates the Group's profitability in relation to its tangible own funds.</t>
  </si>
  <si>
    <t>Adjusted net profit pre items affecting comparability (net of tax) and amortization of intangible assets due to PPA</t>
  </si>
  <si>
    <t>Adjuster operating margin</t>
  </si>
  <si>
    <t>Return on equity excluding intangible assets</t>
  </si>
  <si>
    <t>Number of trades in the period divided by the number of trading days during the period.</t>
  </si>
  <si>
    <t>Trades / day evaluates the underlying volumes in the commissionbased business.</t>
  </si>
  <si>
    <t>Q4 2020</t>
  </si>
  <si>
    <t>Market capitalisation, MSEK</t>
  </si>
  <si>
    <t>Adjusted earnings per share pre amortization of intangible
assets due to PPA before and after dilution (SEK)</t>
  </si>
  <si>
    <t>Adjusted earnings per share shows the Group's profitability before items affecting comparability and pre amortisation of intangible assets due to PPA in relation to the total number of shares.</t>
  </si>
  <si>
    <t>Calculated as statutory net income after deducting AT1 coupon, adjusted for items affecting comparability and amortization of intangible assets due to PPA for the period divided
by the average number of common shares before and after dilution.</t>
  </si>
  <si>
    <t>Calculated as statutory net income after deducting AT1 coupon for the period divided by the average number of common shares before and after dilution.</t>
  </si>
  <si>
    <t>Q1 2021</t>
  </si>
  <si>
    <t>Earnings per share before dilution, (SEK)</t>
  </si>
  <si>
    <t>Earnings per share after dilution, (SEK)</t>
  </si>
  <si>
    <t>Q2 2021</t>
  </si>
  <si>
    <t>Q3 2021</t>
  </si>
  <si>
    <t>Return on equity, last twelve months</t>
  </si>
  <si>
    <t>o/w additional tier 1 (AT1) capital</t>
  </si>
  <si>
    <t>Interest on Tier 1 capital recognised in equity</t>
  </si>
  <si>
    <t>Return on equity calculated as the period’s adjusted accumulated profit, including interest on additional Tier 1 capital and associated periodized transaction expenses net after tax recognized in equity, in relation to the average of equity excluding Tier 1 capital over the corresponding period. The average of equity excluding Tier 1 capital is calculated based on opening, quarterly and closing equity for the period in question.</t>
  </si>
  <si>
    <t>Return on equity calculated as the period’s adjusted accumulated profit, including interest on additional Tier 1 capital and associated periodized transaction expenses net after tax recognized in equity, excluding amortization related to acquisitions in relation to the average of equity excluding Tier 1 capital and intangible assets over the corresponding period. The average of equity excluding Tier 1 capital and intangible assets is calculated based on opening, quarterly and closing equity for the period in question.</t>
  </si>
  <si>
    <t>Q4 2021</t>
  </si>
  <si>
    <t>Q1 2022</t>
  </si>
  <si>
    <t>Imposed levies: Risk tax and resolution fees</t>
  </si>
  <si>
    <t>Net interest income¹</t>
  </si>
  <si>
    <t>Net financial transactions²</t>
  </si>
  <si>
    <t>(2); Nordnet has reported currency exchange income generated through customers’ securities trading under the item “net result of financial transactions”. Nordnet has chosen to change the classification of this income to “commission income”. Information and restatement can be found in January-September 2020 interim report, note 1</t>
  </si>
  <si>
    <t>Net other commission income</t>
  </si>
  <si>
    <t>Net fund related income</t>
  </si>
  <si>
    <t>Net fund related income / Fund capital, annualised</t>
  </si>
  <si>
    <t>Net fund related income / Fund capital</t>
  </si>
  <si>
    <t>Net fund related income in relation to fund capital</t>
  </si>
  <si>
    <t>Imposed levies: Resolution fees</t>
  </si>
  <si>
    <t>Q2 2022</t>
  </si>
  <si>
    <t xml:space="preserve">(1)  In conjunction with the introduction of the Swedish risk tax, the group has changed the presentation of the income statement by adding a new reporting line, “Imposed levies: Resolution fees”. Resolution fees, previously presented in Net interest income, are presented in Imposed levies going forward. Historical periods have been adjusted. Information can be found in January-June 2022 interim report, note 1. </t>
  </si>
  <si>
    <t>Q3 2022</t>
  </si>
  <si>
    <t>Q4 2022</t>
  </si>
  <si>
    <r>
      <t>Number of customers</t>
    </r>
    <r>
      <rPr>
        <vertAlign val="superscript"/>
        <sz val="8"/>
        <color theme="1"/>
        <rFont val="Nordnet Sans"/>
      </rPr>
      <t>3</t>
    </r>
  </si>
  <si>
    <r>
      <t>Number of new customers (net)</t>
    </r>
    <r>
      <rPr>
        <vertAlign val="superscript"/>
        <sz val="8"/>
        <color theme="1"/>
        <rFont val="Nordnet Sans"/>
      </rPr>
      <t>3</t>
    </r>
  </si>
  <si>
    <r>
      <t>Number of customers</t>
    </r>
    <r>
      <rPr>
        <vertAlign val="superscript"/>
        <sz val="8"/>
        <color theme="1"/>
        <rFont val="Nordnet Sans"/>
      </rPr>
      <t>1</t>
    </r>
  </si>
  <si>
    <r>
      <t>Number of new customers (net)</t>
    </r>
    <r>
      <rPr>
        <vertAlign val="superscript"/>
        <sz val="8"/>
        <color theme="1"/>
        <rFont val="Nordnet Sans"/>
      </rPr>
      <t>1</t>
    </r>
  </si>
  <si>
    <t>(1);  The number of new customers in 2022 amounts to 50 900 gross and 41 500 net, the latter figure includes customer relationships terminated due to the customer documentation project. Gross growth for Q1 was 20 700, Q2 was 10 700, Q3 was 10 100 and Q4 was 9 400.</t>
  </si>
  <si>
    <t>(1);  The number of new customers in 2022 amounts to 46 000 gross and 39 700 net, the latter figure includes customer relationships terminated due to the customer documentation project. Gross growth for Q1 was 19 700, Q2 was 8 100, Q3 was 10 000 and Q4 was 8 200.</t>
  </si>
  <si>
    <t>(1);  The number of new customers in 2022 amounts to 36 100 gross and 26 700 net, the latter figure includes customer relationships terminated due to the customer documentation project. Gross growth for Q1 was  15 700, Q2 was 6 500, Q3 was 7 400 and Q4 was 6 600.</t>
  </si>
  <si>
    <t>(1);  The number of new customers in 2022 amounts to 26 000 gross and -500 net, the latter figure includes customer relationships terminated due to the customer documentation project. Gross growth for Q1 was 7 600, Q2 was 5 500, Q3 was 6 700 and Q4 was 6 400.</t>
  </si>
  <si>
    <t>(3);  The number of new customers in 2022 amounts to 158,500 gross and 106,800 net, the latter figure includes customer relationships terminated due to the customer documentation project. Gross growth for Q1 was 63 600, Q2 was 30 100, Q3 was 34 500 and Q4 was 30 400.</t>
  </si>
  <si>
    <t>Q1 2023</t>
  </si>
  <si>
    <r>
      <t>Adjusted annual customer growth</t>
    </r>
    <r>
      <rPr>
        <vertAlign val="superscript"/>
        <sz val="8"/>
        <color theme="1"/>
        <rFont val="Nordnet Sans"/>
      </rPr>
      <t>4</t>
    </r>
  </si>
  <si>
    <r>
      <t>Adjusted customer growth (compared to same period previous year)</t>
    </r>
    <r>
      <rPr>
        <vertAlign val="superscript"/>
        <sz val="8"/>
        <color theme="1"/>
        <rFont val="Nordnet Sans"/>
      </rPr>
      <t>2</t>
    </r>
  </si>
  <si>
    <t>(2); Unadjusted annual customer growth was 18% in Q1 2022, 14% in Q2 2022, 11% in Q3 2022, 8% in Q4 2022 and 7% in Q1 2023</t>
  </si>
  <si>
    <t>(2); Unadjusted annual customer growth was 19% in Q1 2022, 12% in Q2 2022, 10% in Q3 2022, 8% in Q4 2022 and 9% in Q1 2023</t>
  </si>
  <si>
    <t>(2); Unadjusted annual customer growth was 30% in Q1 2022, 21% in Q2 2022, 17% in Q3 2022, 13% in Q4 2022 and 13% in Q1 2023</t>
  </si>
  <si>
    <t>Q2 2023</t>
  </si>
  <si>
    <t xml:space="preserve">Realized capital gains/losses in the liquidity portfolio and from other financial transactions. </t>
  </si>
  <si>
    <t>Income from fund retrocession in Sweden, Denmark and Finland as well as platform fees on fund capital in Norway and for partner customers in Sweden. Also includes income from foreign exchange fees and fund related costs such as clearing &amp; transaction fees as well as management fees for the Nordnet branded funds.</t>
  </si>
  <si>
    <t>Interest income from the liquidity portfolio and lending portfolio, income from the stock lending program, interest expense on customer deposits, cost related to the deposit guarantee fund and other interest income and expenses.</t>
  </si>
  <si>
    <t>Income from Nordnet Markets (overnight interest on exposure through ETPs and other leverage products), income from insurance provisions related to unsecured loans and income related to security loans (customer short positions). Also includes various fees related to loan administration, banking fees and other provision expenses.</t>
  </si>
  <si>
    <t>Net income from brokerage commissions, foreign exchange fees and brokerage related cost such as clearing fees, transaction fees and market data.</t>
  </si>
  <si>
    <t xml:space="preserve">Income related to IPO distribution, customer subscriptions, and various fees. </t>
  </si>
  <si>
    <t>Q3 2023</t>
  </si>
  <si>
    <t>Q4 2023</t>
  </si>
  <si>
    <t>Adjusted earnings per share before dilution (SEK)</t>
  </si>
  <si>
    <t>Adjusted earnings per share after dilution (SEK)</t>
  </si>
  <si>
    <t>CET1 ratio, prudential situation</t>
  </si>
  <si>
    <t>Total Capital ratio, prudential situation</t>
  </si>
  <si>
    <t>Leverage ratio, prudential situation</t>
  </si>
  <si>
    <t>Marketing</t>
  </si>
  <si>
    <t>Return on equity, last twelve months (not adjusted)</t>
  </si>
  <si>
    <t>Q1 2024</t>
  </si>
  <si>
    <t>Q2 2024</t>
  </si>
  <si>
    <t>Q3 2024</t>
  </si>
  <si>
    <t>Q4 2024</t>
  </si>
  <si>
    <t>Items affecting comparability, credit losses</t>
  </si>
  <si>
    <t>Q1 2025</t>
  </si>
  <si>
    <t>Q2 2025</t>
  </si>
  <si>
    <t>Number of physical persons and legal entities holding at least one account with a balance greater than 0 SEK. Also includes customers in Nordnet's unsecured lending business prior to its divestment to Ikano Bank on 1 October 2024.</t>
  </si>
  <si>
    <t>Q3 2025</t>
  </si>
  <si>
    <t>Q4 2025</t>
  </si>
  <si>
    <t xml:space="preserve">  o/w cross border traded value</t>
  </si>
  <si>
    <t xml:space="preserve">  o/w cross border trades</t>
  </si>
  <si>
    <t>(2); Unadjusted annual customer growth was 5% in Q1 2022, 1% in Q2 2022, 1% in Q3 2022, 0% in Q4 2022, 5% in Q1 2023, 9% in Q2 2023, 1% in Q4 2024, 1% in Q1 2025, 1% in Q2 2025 and 2% in Q3 2025.</t>
  </si>
  <si>
    <t>(4); Unadjusted  annual customer growth was 17% in Q1 2022, 11% in Q2 2022, 9% in Q3 2022, 7% in Q4 2022, 8% in Q1 2023, 13% in Q4 2024, 13% in Q1 2025,13% in Q2 2025 and 12% in Q3 2025.</t>
  </si>
  <si>
    <t>Q1 2026</t>
  </si>
  <si>
    <t>Q2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</si>
</sst>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0"/>
    <numFmt numFmtId="167" formatCode="0.0%"/>
    <numFmt numFmtId="168" formatCode="_-* #,##0.0_-;\-* #,##0.0_-;_-* &quot;-&quot;??_-;_-@_-"/>
    <numFmt numFmtId="169" formatCode="_-* #,##0_-;\-* #,##0_-;_-* &quot;-&quot;??_-;_-@_-"/>
    <numFmt numFmtId="170" formatCode="#,##0_);\(#,##0\)_);&quot;-&quot;_)"/>
    <numFmt numFmtId="171" formatCode="#,##0.0_);\(#,##0.0\)_);&quot;-&quot;_)"/>
    <numFmt numFmtId="172" formatCode="0%_);\(0%\);&quot;–&quot;_)"/>
    <numFmt numFmtId="173" formatCode="0.0%_);\(0.0%\);&quot;–&quot;_)"/>
    <numFmt numFmtId="174" formatCode="0.00%_);\(0.00%\);&quot;–&quot;_)"/>
    <numFmt numFmtId="175" formatCode="#,##0.00_);\(#,##0.00\)_);&quot;-&quot;_)"/>
    <numFmt numFmtId="176" formatCode="#,##0.00000"/>
    <numFmt numFmtId="177" formatCode="0.0000%"/>
    <numFmt numFmtId="178" formatCode="#,##0.000"/>
    <numFmt numFmtId="179" formatCode="#,##0.0000_);\(#,##0.0000\)_);&quot;-&quot;_)"/>
  </numFmts>
  <fonts count="46" x14ac:knownFonts="1">
    <font>
      <sz val="11"/>
      <color theme="1"/>
      <name val="Calibri"/>
      <family val="2"/>
      <scheme val="minor"/>
    </font>
    <font>
      <sz val="11"/>
      <color theme="1"/>
      <name val="Calibri"/>
      <family val="2"/>
      <scheme val="minor"/>
    </font>
    <font>
      <b/>
      <sz val="8"/>
      <color theme="0"/>
      <name val="Nordnet Sans"/>
    </font>
    <font>
      <b/>
      <sz val="8"/>
      <name val="Nordnet Sans"/>
    </font>
    <font>
      <sz val="8"/>
      <color rgb="FF000000"/>
      <name val="Nordnet Sans"/>
    </font>
    <font>
      <b/>
      <sz val="8"/>
      <color rgb="FF000000"/>
      <name val="Nordnet Sans"/>
    </font>
    <font>
      <sz val="8"/>
      <name val="Nordnet Sans"/>
    </font>
    <font>
      <sz val="8"/>
      <color indexed="63"/>
      <name val="Nordnet Sans"/>
    </font>
    <font>
      <sz val="8"/>
      <color theme="1"/>
      <name val="Nordnet Sans"/>
    </font>
    <font>
      <b/>
      <sz val="8"/>
      <color theme="1"/>
      <name val="Nordnet Sans"/>
    </font>
    <font>
      <sz val="10"/>
      <name val="Arial"/>
      <family val="2"/>
    </font>
    <font>
      <sz val="8"/>
      <color rgb="FFFF0000"/>
      <name val="Nordnet Sans"/>
    </font>
    <font>
      <sz val="8"/>
      <color theme="0"/>
      <name val="Nordnet Sans"/>
    </font>
    <font>
      <b/>
      <sz val="8"/>
      <color rgb="FF92D050"/>
      <name val="Nordnet Sans"/>
    </font>
    <font>
      <sz val="8"/>
      <color rgb="FF92D050"/>
      <name val="Nordnet Sans"/>
    </font>
    <font>
      <i/>
      <sz val="8"/>
      <name val="Nordnet Sans"/>
    </font>
    <font>
      <i/>
      <sz val="8"/>
      <color indexed="63"/>
      <name val="Nordnet Sans"/>
    </font>
    <font>
      <sz val="8"/>
      <color rgb="FFFFC000"/>
      <name val="Nordnet Sans"/>
    </font>
    <font>
      <u/>
      <sz val="8"/>
      <name val="Nordnet Sans"/>
    </font>
    <font>
      <u/>
      <sz val="8"/>
      <color indexed="63"/>
      <name val="Nordnet Sans"/>
    </font>
    <font>
      <u val="singleAccounting"/>
      <sz val="8"/>
      <color indexed="63"/>
      <name val="Nordnet Sans"/>
    </font>
    <font>
      <u val="singleAccounting"/>
      <sz val="8"/>
      <name val="Nordnet Sans"/>
    </font>
    <font>
      <b/>
      <sz val="8"/>
      <color rgb="FFFF0000"/>
      <name val="Nordnet Sans"/>
    </font>
    <font>
      <b/>
      <sz val="8"/>
      <color rgb="FFFFC000"/>
      <name val="Nordnet Sans"/>
    </font>
    <font>
      <sz val="8"/>
      <color indexed="10"/>
      <name val="Nordnet Sans"/>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9"/>
      <color indexed="81"/>
      <name val="Tahoma"/>
      <family val="2"/>
    </font>
    <font>
      <b/>
      <sz val="9"/>
      <color indexed="81"/>
      <name val="Tahoma"/>
      <family val="2"/>
    </font>
    <font>
      <sz val="8"/>
      <color indexed="8"/>
      <name val="Nordnet Sans"/>
    </font>
    <font>
      <b/>
      <sz val="8"/>
      <color indexed="63"/>
      <name val="Nordnet Sans"/>
    </font>
    <font>
      <b/>
      <u/>
      <sz val="8"/>
      <color theme="1"/>
      <name val="Nordnet Sans"/>
    </font>
    <font>
      <b/>
      <u/>
      <sz val="8"/>
      <color rgb="FF000000"/>
      <name val="Nordnet Sans"/>
    </font>
    <font>
      <b/>
      <u/>
      <sz val="8"/>
      <color indexed="63"/>
      <name val="Nordnet Sans"/>
    </font>
    <font>
      <b/>
      <u/>
      <sz val="8"/>
      <name val="Nordnet Sans"/>
    </font>
    <font>
      <vertAlign val="superscript"/>
      <sz val="8"/>
      <color theme="1"/>
      <name val="Nordnet Sans"/>
    </font>
    <font>
      <sz val="8"/>
      <color theme="1"/>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282323"/>
        <bgColor indexed="64"/>
      </patternFill>
    </fill>
    <fill>
      <patternFill patternType="solid">
        <fgColor theme="0"/>
        <bgColor indexed="64"/>
      </patternFill>
    </fill>
    <fill>
      <patternFill patternType="solid">
        <fgColor theme="8" tint="0.79998168889431442"/>
        <bgColor indexed="64"/>
      </patternFill>
    </fill>
    <fill>
      <patternFill patternType="solid">
        <fgColor rgb="FFBED7A5"/>
        <bgColor indexed="64"/>
      </patternFill>
    </fill>
    <fill>
      <patternFill patternType="solid">
        <fgColor rgb="FFDEFBE6"/>
        <bgColor indexed="64"/>
      </patternFill>
    </fill>
    <fill>
      <patternFill patternType="solid">
        <fgColor rgb="FFF4F4F4"/>
        <bgColor indexed="64"/>
      </patternFill>
    </fill>
  </fills>
  <borders count="18">
    <border>
      <left/>
      <right/>
      <top/>
      <bottom/>
      <diagonal/>
    </border>
    <border>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right style="thin">
        <color indexed="64"/>
      </right>
      <top/>
      <bottom/>
      <diagonal/>
    </border>
    <border>
      <left style="thin">
        <color indexed="64"/>
      </left>
      <right style="thin">
        <color indexed="64"/>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55"/>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s>
  <cellStyleXfs count="83">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25" fillId="0" borderId="6" applyNumberFormat="0" applyFill="0" applyProtection="0">
      <alignment horizontal="center" vertical="center"/>
    </xf>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5" fillId="0" borderId="6" applyNumberFormat="0" applyFill="0" applyAlignment="0" applyProtection="0"/>
    <xf numFmtId="0" fontId="25" fillId="0" borderId="6" applyNumberFormat="0" applyFill="0" applyAlignment="0" applyProtection="0"/>
    <xf numFmtId="3"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lignment horizontal="right" vertical="center"/>
    </xf>
    <xf numFmtId="3" fontId="26" fillId="5" borderId="7">
      <alignment horizontal="center" vertical="center"/>
    </xf>
    <xf numFmtId="0" fontId="26" fillId="5" borderId="7">
      <alignment horizontal="right" vertical="center"/>
    </xf>
    <xf numFmtId="0" fontId="25" fillId="0" borderId="8">
      <alignment horizontal="left" vertical="center"/>
    </xf>
    <xf numFmtId="0" fontId="25" fillId="0" borderId="9">
      <alignment horizontal="center" vertical="center"/>
    </xf>
    <xf numFmtId="0" fontId="27" fillId="0" borderId="10">
      <alignment horizontal="center" vertical="center"/>
    </xf>
    <xf numFmtId="0" fontId="26" fillId="4" borderId="7"/>
    <xf numFmtId="3" fontId="28" fillId="0" borderId="7"/>
    <xf numFmtId="3" fontId="29" fillId="0" borderId="7"/>
    <xf numFmtId="0" fontId="25" fillId="0" borderId="9">
      <alignment horizontal="left" vertical="top"/>
    </xf>
    <xf numFmtId="0" fontId="30" fillId="0" borderId="7"/>
    <xf numFmtId="0" fontId="25" fillId="0" borderId="9">
      <alignment horizontal="left" vertical="center"/>
    </xf>
    <xf numFmtId="0" fontId="26" fillId="5" borderId="11"/>
    <xf numFmtId="3" fontId="26" fillId="0" borderId="7">
      <alignment horizontal="right" vertical="center"/>
    </xf>
    <xf numFmtId="0" fontId="25" fillId="0" borderId="9">
      <alignment horizontal="right" vertical="center"/>
    </xf>
    <xf numFmtId="0" fontId="26" fillId="0" borderId="10">
      <alignment horizontal="center" vertical="center"/>
    </xf>
    <xf numFmtId="3" fontId="26" fillId="0" borderId="7"/>
    <xf numFmtId="3" fontId="26" fillId="0" borderId="7"/>
    <xf numFmtId="0" fontId="26" fillId="0" borderId="10">
      <alignment horizontal="center" vertical="center" wrapText="1"/>
    </xf>
    <xf numFmtId="0" fontId="31" fillId="0" borderId="10">
      <alignment horizontal="left" vertical="center" indent="1"/>
    </xf>
    <xf numFmtId="0" fontId="32" fillId="0" borderId="7"/>
    <xf numFmtId="0" fontId="25" fillId="0" borderId="8">
      <alignment horizontal="left" vertical="center"/>
    </xf>
    <xf numFmtId="3" fontId="26" fillId="0" borderId="7">
      <alignment horizontal="center" vertical="center"/>
    </xf>
    <xf numFmtId="0" fontId="25" fillId="0" borderId="9">
      <alignment horizontal="center" vertical="center"/>
    </xf>
    <xf numFmtId="0" fontId="25" fillId="0" borderId="9">
      <alignment horizontal="center" vertical="center"/>
    </xf>
    <xf numFmtId="0" fontId="25" fillId="0" borderId="8">
      <alignment horizontal="left" vertical="center"/>
    </xf>
    <xf numFmtId="0" fontId="25" fillId="0" borderId="8">
      <alignment horizontal="left" vertical="center"/>
    </xf>
    <xf numFmtId="0" fontId="33" fillId="0" borderId="7"/>
    <xf numFmtId="43" fontId="1" fillId="0" borderId="0" applyFont="0" applyFill="0" applyBorder="0" applyAlignment="0" applyProtection="0"/>
    <xf numFmtId="43" fontId="10" fillId="0" borderId="0" applyFont="0" applyFill="0" applyBorder="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0" fontId="25" fillId="0" borderId="6" applyFill="0" applyAlignment="0" applyProtection="0"/>
    <xf numFmtId="3" fontId="25" fillId="0" borderId="6" applyFill="0" applyAlignment="0" applyProtection="0"/>
    <xf numFmtId="0" fontId="25" fillId="0" borderId="9">
      <alignment horizontal="center" vertical="center"/>
    </xf>
    <xf numFmtId="0" fontId="25" fillId="0" borderId="9">
      <alignment horizontal="center" vertical="center"/>
    </xf>
    <xf numFmtId="3" fontId="26" fillId="0" borderId="7" applyFill="0" applyAlignment="0" applyProtection="0"/>
    <xf numFmtId="0" fontId="26" fillId="0" borderId="7" applyFill="0" applyAlignment="0" applyProtection="0"/>
    <xf numFmtId="3" fontId="25" fillId="6" borderId="16" applyNumberFormat="0" applyFont="0" applyAlignment="0" applyProtection="0"/>
    <xf numFmtId="0" fontId="1" fillId="7" borderId="17" applyNumberFormat="0" applyFont="0" applyAlignment="0" applyProtection="0"/>
    <xf numFmtId="0" fontId="25" fillId="0" borderId="6" applyFill="0" applyAlignment="0" applyProtection="0"/>
    <xf numFmtId="3"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8">
      <alignment horizontal="left" vertical="center"/>
    </xf>
    <xf numFmtId="3" fontId="25" fillId="0" borderId="6" applyFill="0" applyAlignment="0" applyProtection="0"/>
  </cellStyleXfs>
  <cellXfs count="316">
    <xf numFmtId="0" fontId="0" fillId="0" borderId="0" xfId="0"/>
    <xf numFmtId="0" fontId="2" fillId="2" borderId="0" xfId="0" applyFont="1" applyFill="1" applyAlignment="1">
      <alignment horizontal="left"/>
    </xf>
    <xf numFmtId="0" fontId="3" fillId="0" borderId="0" xfId="0" applyFont="1" applyAlignment="1">
      <alignment horizontal="left"/>
    </xf>
    <xf numFmtId="164" fontId="4" fillId="0" borderId="0" xfId="0" applyNumberFormat="1" applyFont="1" applyAlignment="1">
      <alignment horizontal="left" indent="1"/>
    </xf>
    <xf numFmtId="0" fontId="4" fillId="0" borderId="0" xfId="0" applyFont="1" applyAlignment="1">
      <alignment horizontal="left" indent="1"/>
    </xf>
    <xf numFmtId="0" fontId="5"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xf numFmtId="0" fontId="9" fillId="0" borderId="0" xfId="0" applyFont="1"/>
    <xf numFmtId="0" fontId="7" fillId="0" borderId="0" xfId="0" applyFont="1" applyAlignment="1">
      <alignment horizontal="left" indent="1"/>
    </xf>
    <xf numFmtId="0" fontId="8" fillId="0" borderId="0" xfId="0" applyFont="1" applyAlignment="1">
      <alignment horizontal="left" indent="1"/>
    </xf>
    <xf numFmtId="0" fontId="6" fillId="0" borderId="0" xfId="0" applyFont="1" applyAlignment="1">
      <alignment horizontal="left" vertical="center"/>
    </xf>
    <xf numFmtId="0" fontId="6" fillId="3" borderId="0" xfId="0" applyFont="1" applyFill="1" applyAlignment="1">
      <alignment wrapText="1"/>
    </xf>
    <xf numFmtId="4" fontId="6" fillId="0" borderId="0" xfId="0" applyNumberFormat="1" applyFont="1" applyAlignment="1">
      <alignment horizontal="right"/>
    </xf>
    <xf numFmtId="3" fontId="6" fillId="0" borderId="0" xfId="0" applyNumberFormat="1" applyFont="1" applyAlignment="1">
      <alignment horizontal="right"/>
    </xf>
    <xf numFmtId="3" fontId="6" fillId="0" borderId="4" xfId="0" applyNumberFormat="1" applyFont="1" applyBorder="1" applyAlignment="1">
      <alignment horizontal="right"/>
    </xf>
    <xf numFmtId="3" fontId="6" fillId="0" borderId="5" xfId="0" applyNumberFormat="1" applyFont="1" applyBorder="1" applyAlignment="1">
      <alignment horizontal="right"/>
    </xf>
    <xf numFmtId="0" fontId="6" fillId="3" borderId="0" xfId="0" applyFont="1" applyFill="1"/>
    <xf numFmtId="0" fontId="11" fillId="3" borderId="0" xfId="0" applyFont="1" applyFill="1"/>
    <xf numFmtId="10" fontId="11" fillId="3" borderId="0" xfId="5" applyNumberFormat="1" applyFont="1" applyFill="1"/>
    <xf numFmtId="0" fontId="2" fillId="2" borderId="0" xfId="0" applyFont="1" applyFill="1"/>
    <xf numFmtId="14" fontId="2" fillId="2" borderId="0" xfId="0" applyNumberFormat="1" applyFont="1" applyFill="1" applyAlignment="1">
      <alignment horizontal="center"/>
    </xf>
    <xf numFmtId="14" fontId="2" fillId="2" borderId="1" xfId="0" applyNumberFormat="1" applyFont="1" applyFill="1" applyBorder="1" applyAlignment="1">
      <alignment horizontal="center"/>
    </xf>
    <xf numFmtId="14" fontId="2" fillId="2" borderId="2" xfId="0" applyNumberFormat="1" applyFont="1" applyFill="1" applyBorder="1" applyAlignment="1">
      <alignment horizontal="center"/>
    </xf>
    <xf numFmtId="0" fontId="2" fillId="2" borderId="0" xfId="0" applyFont="1" applyFill="1" applyAlignment="1">
      <alignment horizontal="center"/>
    </xf>
    <xf numFmtId="0" fontId="2" fillId="2" borderId="0" xfId="0" quotePrefix="1" applyFont="1" applyFill="1" applyAlignment="1">
      <alignment horizontal="center"/>
    </xf>
    <xf numFmtId="0" fontId="2" fillId="2" borderId="3" xfId="0" quotePrefix="1" applyFont="1" applyFill="1" applyBorder="1" applyAlignment="1">
      <alignment horizontal="center"/>
    </xf>
    <xf numFmtId="0" fontId="2" fillId="2" borderId="2" xfId="0" quotePrefix="1" applyFont="1" applyFill="1" applyBorder="1" applyAlignment="1">
      <alignment horizontal="center"/>
    </xf>
    <xf numFmtId="0" fontId="12" fillId="2" borderId="0" xfId="0" applyFont="1" applyFill="1"/>
    <xf numFmtId="0" fontId="6" fillId="0" borderId="0" xfId="0" applyFont="1"/>
    <xf numFmtId="0" fontId="6" fillId="0" borderId="4" xfId="0" applyFont="1" applyBorder="1"/>
    <xf numFmtId="0" fontId="11" fillId="0" borderId="0" xfId="0" applyFont="1"/>
    <xf numFmtId="0" fontId="11" fillId="0" borderId="4" xfId="0" applyFont="1" applyBorder="1"/>
    <xf numFmtId="0" fontId="6" fillId="0" borderId="5" xfId="0" applyFont="1" applyBorder="1"/>
    <xf numFmtId="0" fontId="3" fillId="0" borderId="0" xfId="0" applyFont="1"/>
    <xf numFmtId="0" fontId="3" fillId="0" borderId="4" xfId="0" applyFont="1" applyBorder="1"/>
    <xf numFmtId="0" fontId="3" fillId="0" borderId="5" xfId="0" applyFont="1" applyBorder="1"/>
    <xf numFmtId="0" fontId="13" fillId="0" borderId="4" xfId="0" applyFont="1" applyBorder="1"/>
    <xf numFmtId="0" fontId="14" fillId="0" borderId="4" xfId="0" applyFont="1" applyBorder="1"/>
    <xf numFmtId="164" fontId="7" fillId="0" borderId="0" xfId="0" applyNumberFormat="1" applyFont="1"/>
    <xf numFmtId="3" fontId="6" fillId="0" borderId="0" xfId="0" applyNumberFormat="1" applyFont="1"/>
    <xf numFmtId="3" fontId="7" fillId="0" borderId="0" xfId="0" applyNumberFormat="1" applyFont="1"/>
    <xf numFmtId="3" fontId="7" fillId="0" borderId="4" xfId="0" applyNumberFormat="1" applyFont="1" applyBorder="1"/>
    <xf numFmtId="165" fontId="7" fillId="0" borderId="4" xfId="0" applyNumberFormat="1" applyFont="1" applyBorder="1"/>
    <xf numFmtId="3" fontId="6" fillId="0" borderId="4" xfId="0" applyNumberFormat="1" applyFont="1" applyBorder="1"/>
    <xf numFmtId="1" fontId="6" fillId="0" borderId="0" xfId="0" applyNumberFormat="1" applyFont="1"/>
    <xf numFmtId="1" fontId="6" fillId="0" borderId="5" xfId="0" applyNumberFormat="1" applyFont="1" applyBorder="1"/>
    <xf numFmtId="1" fontId="6" fillId="0" borderId="4" xfId="0" applyNumberFormat="1" applyFont="1" applyBorder="1"/>
    <xf numFmtId="164" fontId="6" fillId="0" borderId="0" xfId="0" applyNumberFormat="1" applyFont="1"/>
    <xf numFmtId="0" fontId="7" fillId="0" borderId="0" xfId="0" applyFont="1"/>
    <xf numFmtId="165" fontId="6" fillId="0" borderId="4" xfId="0" applyNumberFormat="1" applyFont="1" applyBorder="1"/>
    <xf numFmtId="3" fontId="3" fillId="0" borderId="0" xfId="0" applyNumberFormat="1" applyFont="1"/>
    <xf numFmtId="3" fontId="3" fillId="0" borderId="4" xfId="0" applyNumberFormat="1" applyFont="1" applyBorder="1"/>
    <xf numFmtId="1" fontId="3" fillId="0" borderId="0" xfId="0" applyNumberFormat="1" applyFont="1"/>
    <xf numFmtId="1" fontId="3" fillId="0" borderId="5" xfId="0" applyNumberFormat="1" applyFont="1" applyBorder="1"/>
    <xf numFmtId="1" fontId="3" fillId="0" borderId="4" xfId="0" applyNumberFormat="1" applyFont="1" applyBorder="1"/>
    <xf numFmtId="0" fontId="15" fillId="0" borderId="0" xfId="0" applyFont="1"/>
    <xf numFmtId="3" fontId="15" fillId="0" borderId="0" xfId="0" applyNumberFormat="1" applyFont="1"/>
    <xf numFmtId="3" fontId="16" fillId="0" borderId="0" xfId="0" applyNumberFormat="1" applyFont="1"/>
    <xf numFmtId="3" fontId="16" fillId="0" borderId="4" xfId="0" applyNumberFormat="1" applyFont="1" applyBorder="1"/>
    <xf numFmtId="3" fontId="15" fillId="0" borderId="4" xfId="0" applyNumberFormat="1" applyFont="1" applyBorder="1"/>
    <xf numFmtId="3" fontId="11" fillId="0" borderId="0" xfId="0" applyNumberFormat="1" applyFont="1"/>
    <xf numFmtId="3" fontId="11" fillId="0" borderId="4" xfId="0" applyNumberFormat="1" applyFont="1" applyBorder="1"/>
    <xf numFmtId="3" fontId="17" fillId="0" borderId="0" xfId="0" applyNumberFormat="1" applyFont="1"/>
    <xf numFmtId="164" fontId="11" fillId="0" borderId="4" xfId="0" applyNumberFormat="1" applyFont="1" applyBorder="1"/>
    <xf numFmtId="3" fontId="7" fillId="0" borderId="0" xfId="0" applyNumberFormat="1" applyFont="1" applyAlignment="1">
      <alignment horizontal="right"/>
    </xf>
    <xf numFmtId="3" fontId="14" fillId="0" borderId="0" xfId="0" applyNumberFormat="1" applyFont="1"/>
    <xf numFmtId="3" fontId="14" fillId="0" borderId="4" xfId="0" applyNumberFormat="1" applyFont="1" applyBorder="1"/>
    <xf numFmtId="166" fontId="6" fillId="0" borderId="0" xfId="0" applyNumberFormat="1" applyFont="1"/>
    <xf numFmtId="166" fontId="6" fillId="0" borderId="4" xfId="0" applyNumberFormat="1" applyFont="1" applyBorder="1"/>
    <xf numFmtId="0" fontId="7" fillId="0" borderId="4" xfId="0" applyFont="1" applyBorder="1"/>
    <xf numFmtId="0" fontId="17" fillId="0" borderId="0" xfId="0" applyFont="1"/>
    <xf numFmtId="169" fontId="7" fillId="0" borderId="0" xfId="1" applyNumberFormat="1" applyFont="1" applyFill="1" applyBorder="1"/>
    <xf numFmtId="169" fontId="7" fillId="0" borderId="5" xfId="1" applyNumberFormat="1" applyFont="1" applyFill="1" applyBorder="1"/>
    <xf numFmtId="169" fontId="6" fillId="0" borderId="5" xfId="1" applyNumberFormat="1" applyFont="1" applyFill="1" applyBorder="1"/>
    <xf numFmtId="169" fontId="6" fillId="0" borderId="4" xfId="1" applyNumberFormat="1" applyFont="1" applyFill="1" applyBorder="1"/>
    <xf numFmtId="169" fontId="7" fillId="0" borderId="4" xfId="1" applyNumberFormat="1" applyFont="1" applyFill="1" applyBorder="1"/>
    <xf numFmtId="3" fontId="6" fillId="0" borderId="0" xfId="1" applyNumberFormat="1" applyFont="1" applyFill="1"/>
    <xf numFmtId="3" fontId="7" fillId="0" borderId="0" xfId="1" applyNumberFormat="1" applyFont="1" applyFill="1"/>
    <xf numFmtId="165" fontId="6" fillId="0" borderId="0" xfId="0" applyNumberFormat="1" applyFont="1"/>
    <xf numFmtId="164" fontId="6" fillId="0" borderId="5" xfId="0" applyNumberFormat="1" applyFont="1" applyBorder="1"/>
    <xf numFmtId="164" fontId="6" fillId="0" borderId="4" xfId="0" applyNumberFormat="1" applyFont="1" applyBorder="1"/>
    <xf numFmtId="169" fontId="6" fillId="0" borderId="0" xfId="0" applyNumberFormat="1" applyFont="1"/>
    <xf numFmtId="3" fontId="6" fillId="0" borderId="5" xfId="0" applyNumberFormat="1" applyFont="1" applyBorder="1"/>
    <xf numFmtId="165" fontId="7" fillId="0" borderId="0" xfId="0" applyNumberFormat="1" applyFont="1"/>
    <xf numFmtId="168" fontId="7" fillId="0" borderId="0" xfId="1" applyNumberFormat="1" applyFont="1" applyFill="1" applyBorder="1"/>
    <xf numFmtId="168" fontId="7" fillId="0" borderId="5" xfId="1" applyNumberFormat="1" applyFont="1" applyFill="1" applyBorder="1"/>
    <xf numFmtId="168" fontId="6" fillId="0" borderId="5" xfId="1" applyNumberFormat="1" applyFont="1" applyFill="1" applyBorder="1"/>
    <xf numFmtId="168" fontId="6" fillId="0" borderId="4" xfId="1" applyNumberFormat="1" applyFont="1" applyFill="1" applyBorder="1"/>
    <xf numFmtId="168" fontId="7" fillId="0" borderId="4" xfId="1" applyNumberFormat="1" applyFont="1" applyFill="1" applyBorder="1"/>
    <xf numFmtId="3" fontId="18" fillId="0" borderId="0" xfId="0" applyNumberFormat="1" applyFont="1"/>
    <xf numFmtId="165" fontId="19" fillId="0" borderId="0" xfId="0" applyNumberFormat="1" applyFont="1"/>
    <xf numFmtId="165" fontId="19" fillId="0" borderId="4" xfId="0" applyNumberFormat="1" applyFont="1" applyBorder="1"/>
    <xf numFmtId="3" fontId="19" fillId="0" borderId="0" xfId="0" applyNumberFormat="1" applyFont="1"/>
    <xf numFmtId="165" fontId="18" fillId="0" borderId="0" xfId="0" applyNumberFormat="1" applyFont="1"/>
    <xf numFmtId="165" fontId="18" fillId="0" borderId="4" xfId="0" applyNumberFormat="1" applyFont="1" applyBorder="1"/>
    <xf numFmtId="168" fontId="20" fillId="0" borderId="0" xfId="1" applyNumberFormat="1" applyFont="1" applyFill="1" applyBorder="1"/>
    <xf numFmtId="168" fontId="20" fillId="0" borderId="5" xfId="1" applyNumberFormat="1" applyFont="1" applyFill="1" applyBorder="1"/>
    <xf numFmtId="168" fontId="21" fillId="0" borderId="5" xfId="1" applyNumberFormat="1" applyFont="1" applyFill="1" applyBorder="1"/>
    <xf numFmtId="168" fontId="21" fillId="0" borderId="4" xfId="1" applyNumberFormat="1" applyFont="1" applyFill="1" applyBorder="1"/>
    <xf numFmtId="168" fontId="20" fillId="0" borderId="4" xfId="1" applyNumberFormat="1" applyFont="1" applyFill="1" applyBorder="1"/>
    <xf numFmtId="168" fontId="7" fillId="0" borderId="0" xfId="0" applyNumberFormat="1" applyFont="1"/>
    <xf numFmtId="168" fontId="7" fillId="0" borderId="5" xfId="0" applyNumberFormat="1" applyFont="1" applyBorder="1"/>
    <xf numFmtId="168" fontId="6" fillId="0" borderId="5" xfId="0" applyNumberFormat="1" applyFont="1" applyBorder="1"/>
    <xf numFmtId="168" fontId="6" fillId="0" borderId="4" xfId="0" applyNumberFormat="1" applyFont="1" applyBorder="1"/>
    <xf numFmtId="168" fontId="7" fillId="0" borderId="4" xfId="0" applyNumberFormat="1" applyFont="1" applyBorder="1"/>
    <xf numFmtId="165" fontId="11" fillId="0" borderId="0" xfId="0" applyNumberFormat="1" applyFont="1"/>
    <xf numFmtId="165" fontId="11" fillId="0" borderId="4" xfId="0" applyNumberFormat="1" applyFont="1" applyBorder="1"/>
    <xf numFmtId="165" fontId="17" fillId="0" borderId="0" xfId="0" applyNumberFormat="1" applyFont="1"/>
    <xf numFmtId="165" fontId="7" fillId="0" borderId="5" xfId="0" applyNumberFormat="1" applyFont="1" applyBorder="1"/>
    <xf numFmtId="165" fontId="6" fillId="0" borderId="5" xfId="0" applyNumberFormat="1" applyFont="1" applyBorder="1"/>
    <xf numFmtId="9" fontId="6" fillId="0" borderId="0" xfId="5" applyFont="1" applyFill="1"/>
    <xf numFmtId="9" fontId="6" fillId="0" borderId="4" xfId="5" applyFont="1" applyFill="1" applyBorder="1"/>
    <xf numFmtId="9" fontId="6" fillId="0" borderId="0" xfId="5" applyFont="1" applyFill="1" applyBorder="1"/>
    <xf numFmtId="167" fontId="6" fillId="0" borderId="0" xfId="0" applyNumberFormat="1" applyFont="1"/>
    <xf numFmtId="167" fontId="6" fillId="0" borderId="4" xfId="0" applyNumberFormat="1" applyFont="1" applyBorder="1"/>
    <xf numFmtId="167" fontId="6" fillId="0" borderId="0" xfId="5" applyNumberFormat="1" applyFont="1" applyFill="1"/>
    <xf numFmtId="167" fontId="6" fillId="0" borderId="4" xfId="5" applyNumberFormat="1" applyFont="1" applyFill="1" applyBorder="1"/>
    <xf numFmtId="167" fontId="6" fillId="0" borderId="0" xfId="5" applyNumberFormat="1" applyFont="1" applyFill="1" applyBorder="1"/>
    <xf numFmtId="165" fontId="6" fillId="0" borderId="0" xfId="0" applyNumberFormat="1" applyFont="1" applyAlignment="1">
      <alignment horizontal="right"/>
    </xf>
    <xf numFmtId="0" fontId="7" fillId="0" borderId="5" xfId="0" applyFont="1" applyBorder="1"/>
    <xf numFmtId="0" fontId="22" fillId="0" borderId="0" xfId="0" applyFont="1"/>
    <xf numFmtId="0" fontId="22" fillId="0" borderId="4" xfId="0" applyFont="1" applyBorder="1"/>
    <xf numFmtId="0" fontId="23" fillId="0" borderId="0" xfId="0" applyFont="1"/>
    <xf numFmtId="3" fontId="7" fillId="0" borderId="5" xfId="0" applyNumberFormat="1" applyFont="1" applyBorder="1"/>
    <xf numFmtId="3" fontId="6" fillId="0" borderId="5" xfId="1" applyNumberFormat="1" applyFont="1" applyFill="1" applyBorder="1"/>
    <xf numFmtId="3" fontId="6" fillId="0" borderId="4" xfId="1" applyNumberFormat="1" applyFont="1" applyFill="1" applyBorder="1"/>
    <xf numFmtId="165" fontId="6" fillId="0" borderId="5" xfId="1" applyNumberFormat="1" applyFont="1" applyFill="1" applyBorder="1"/>
    <xf numFmtId="165" fontId="6" fillId="0" borderId="4" xfId="1" applyNumberFormat="1" applyFont="1" applyFill="1" applyBorder="1"/>
    <xf numFmtId="1" fontId="7" fillId="0" borderId="0" xfId="0" applyNumberFormat="1" applyFont="1"/>
    <xf numFmtId="1" fontId="7" fillId="0" borderId="5" xfId="0" applyNumberFormat="1" applyFont="1" applyBorder="1"/>
    <xf numFmtId="1" fontId="7" fillId="0" borderId="4" xfId="0" applyNumberFormat="1" applyFont="1" applyBorder="1"/>
    <xf numFmtId="10" fontId="6" fillId="0" borderId="0" xfId="0" applyNumberFormat="1" applyFont="1" applyAlignment="1">
      <alignment horizontal="right"/>
    </xf>
    <xf numFmtId="10" fontId="6" fillId="0" borderId="4" xfId="0" applyNumberFormat="1" applyFont="1" applyBorder="1" applyAlignment="1">
      <alignment horizontal="right"/>
    </xf>
    <xf numFmtId="10" fontId="6" fillId="0" borderId="5" xfId="0" applyNumberFormat="1" applyFont="1" applyBorder="1" applyAlignment="1">
      <alignment horizontal="right"/>
    </xf>
    <xf numFmtId="10" fontId="18" fillId="0" borderId="0" xfId="0" applyNumberFormat="1" applyFont="1" applyAlignment="1">
      <alignment horizontal="right"/>
    </xf>
    <xf numFmtId="10" fontId="18" fillId="0" borderId="4" xfId="0" applyNumberFormat="1" applyFont="1" applyBorder="1" applyAlignment="1">
      <alignment horizontal="right"/>
    </xf>
    <xf numFmtId="10" fontId="18" fillId="0" borderId="5" xfId="0" applyNumberFormat="1" applyFont="1" applyBorder="1" applyAlignment="1">
      <alignment horizontal="right"/>
    </xf>
    <xf numFmtId="10" fontId="7" fillId="0" borderId="0" xfId="5" applyNumberFormat="1" applyFont="1" applyFill="1"/>
    <xf numFmtId="10" fontId="7" fillId="0" borderId="4" xfId="5" applyNumberFormat="1" applyFont="1" applyFill="1" applyBorder="1"/>
    <xf numFmtId="10" fontId="6" fillId="0" borderId="0" xfId="5" applyNumberFormat="1" applyFont="1" applyFill="1" applyAlignment="1">
      <alignment horizontal="right"/>
    </xf>
    <xf numFmtId="10" fontId="6" fillId="0" borderId="0" xfId="5" applyNumberFormat="1" applyFont="1" applyFill="1" applyBorder="1"/>
    <xf numFmtId="10" fontId="6" fillId="0" borderId="4" xfId="5" applyNumberFormat="1" applyFont="1" applyFill="1" applyBorder="1"/>
    <xf numFmtId="10" fontId="7" fillId="0" borderId="0" xfId="5" applyNumberFormat="1" applyFont="1" applyFill="1" applyBorder="1"/>
    <xf numFmtId="10" fontId="7" fillId="0" borderId="5" xfId="5" applyNumberFormat="1" applyFont="1" applyFill="1" applyBorder="1"/>
    <xf numFmtId="10" fontId="6" fillId="0" borderId="5" xfId="5" applyNumberFormat="1" applyFont="1" applyFill="1" applyBorder="1"/>
    <xf numFmtId="0" fontId="14" fillId="0" borderId="0" xfId="0" applyFont="1"/>
    <xf numFmtId="9" fontId="6" fillId="0" borderId="0" xfId="0" applyNumberFormat="1" applyFont="1" applyAlignment="1">
      <alignment horizontal="right"/>
    </xf>
    <xf numFmtId="9" fontId="6" fillId="0" borderId="4" xfId="0" applyNumberFormat="1" applyFont="1" applyBorder="1" applyAlignment="1">
      <alignment horizontal="right"/>
    </xf>
    <xf numFmtId="9" fontId="6" fillId="0" borderId="5" xfId="0" applyNumberFormat="1" applyFont="1" applyBorder="1" applyAlignment="1">
      <alignment horizontal="right"/>
    </xf>
    <xf numFmtId="3" fontId="24" fillId="0" borderId="0" xfId="0" applyNumberFormat="1" applyFont="1" applyAlignment="1">
      <alignment horizontal="right"/>
    </xf>
    <xf numFmtId="9" fontId="6" fillId="0" borderId="0" xfId="5" applyFont="1" applyFill="1" applyAlignment="1">
      <alignment horizontal="right"/>
    </xf>
    <xf numFmtId="9" fontId="6" fillId="0" borderId="4" xfId="5" applyFont="1" applyFill="1" applyBorder="1" applyAlignment="1">
      <alignment horizontal="right"/>
    </xf>
    <xf numFmtId="9" fontId="6" fillId="0" borderId="0" xfId="5" applyFont="1" applyFill="1" applyBorder="1" applyAlignment="1">
      <alignment horizontal="right"/>
    </xf>
    <xf numFmtId="9" fontId="6" fillId="0" borderId="5" xfId="5" applyFont="1" applyFill="1" applyBorder="1" applyAlignment="1">
      <alignment horizontal="right"/>
    </xf>
    <xf numFmtId="165" fontId="7" fillId="0" borderId="0" xfId="1" applyNumberFormat="1" applyFont="1" applyFill="1"/>
    <xf numFmtId="0" fontId="7" fillId="0" borderId="0" xfId="0" applyFont="1" applyAlignment="1">
      <alignment horizontal="right"/>
    </xf>
    <xf numFmtId="0" fontId="7" fillId="0" borderId="4" xfId="0" applyFont="1" applyBorder="1" applyAlignment="1">
      <alignment horizontal="right"/>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5" xfId="0" applyNumberFormat="1" applyFont="1" applyBorder="1" applyAlignment="1">
      <alignment horizontal="right"/>
    </xf>
    <xf numFmtId="165" fontId="11" fillId="0" borderId="4" xfId="0" applyNumberFormat="1" applyFont="1" applyBorder="1" applyAlignment="1">
      <alignment horizontal="right"/>
    </xf>
    <xf numFmtId="0" fontId="6" fillId="0" borderId="0" xfId="0" applyFont="1" applyAlignment="1">
      <alignment horizontal="right"/>
    </xf>
    <xf numFmtId="2" fontId="6" fillId="0" borderId="0" xfId="0" applyNumberFormat="1" applyFont="1" applyAlignment="1">
      <alignment horizontal="right"/>
    </xf>
    <xf numFmtId="2" fontId="11" fillId="0" borderId="0" xfId="0" applyNumberFormat="1" applyFont="1" applyAlignment="1">
      <alignment horizontal="right"/>
    </xf>
    <xf numFmtId="2" fontId="11" fillId="0" borderId="4" xfId="0" applyNumberFormat="1" applyFont="1" applyBorder="1" applyAlignment="1">
      <alignment horizontal="right"/>
    </xf>
    <xf numFmtId="2" fontId="17" fillId="0" borderId="0" xfId="0" applyNumberFormat="1" applyFont="1" applyAlignment="1">
      <alignment horizontal="right"/>
    </xf>
    <xf numFmtId="0" fontId="6" fillId="0" borderId="5" xfId="0" applyFont="1" applyBorder="1" applyAlignment="1">
      <alignment horizontal="right"/>
    </xf>
    <xf numFmtId="2" fontId="6" fillId="0" borderId="5" xfId="0" applyNumberFormat="1" applyFont="1" applyBorder="1" applyAlignment="1">
      <alignment horizontal="right"/>
    </xf>
    <xf numFmtId="2" fontId="6" fillId="0" borderId="4" xfId="0" applyNumberFormat="1" applyFont="1" applyBorder="1" applyAlignment="1">
      <alignment horizontal="right"/>
    </xf>
    <xf numFmtId="167" fontId="6" fillId="0" borderId="4" xfId="5" applyNumberFormat="1" applyFont="1" applyFill="1" applyBorder="1" applyAlignment="1">
      <alignment horizontal="right"/>
    </xf>
    <xf numFmtId="167" fontId="6" fillId="0" borderId="0" xfId="5" applyNumberFormat="1" applyFont="1" applyFill="1" applyAlignment="1">
      <alignment horizontal="right"/>
    </xf>
    <xf numFmtId="167" fontId="6" fillId="0" borderId="0" xfId="5" applyNumberFormat="1" applyFont="1" applyFill="1" applyBorder="1" applyAlignment="1">
      <alignment horizontal="right"/>
    </xf>
    <xf numFmtId="167" fontId="6" fillId="0" borderId="5" xfId="5" applyNumberFormat="1" applyFont="1" applyFill="1" applyBorder="1" applyAlignment="1">
      <alignment horizontal="right"/>
    </xf>
    <xf numFmtId="43" fontId="3" fillId="0" borderId="0" xfId="0" applyNumberFormat="1" applyFont="1"/>
    <xf numFmtId="43" fontId="3" fillId="0" borderId="5" xfId="0" applyNumberFormat="1" applyFont="1" applyBorder="1"/>
    <xf numFmtId="43" fontId="6" fillId="0" borderId="5" xfId="0" applyNumberFormat="1" applyFont="1" applyBorder="1"/>
    <xf numFmtId="43" fontId="6" fillId="0" borderId="4" xfId="0" applyNumberFormat="1" applyFont="1" applyBorder="1"/>
    <xf numFmtId="43" fontId="3" fillId="0" borderId="4" xfId="0" applyNumberFormat="1" applyFont="1" applyBorder="1"/>
    <xf numFmtId="165" fontId="6" fillId="0" borderId="0" xfId="1" applyNumberFormat="1" applyFont="1" applyFill="1"/>
    <xf numFmtId="2" fontId="7" fillId="0" borderId="0" xfId="0" applyNumberFormat="1" applyFont="1"/>
    <xf numFmtId="2" fontId="7" fillId="0" borderId="4" xfId="0" applyNumberFormat="1" applyFont="1" applyBorder="1"/>
    <xf numFmtId="4" fontId="6" fillId="0" borderId="0" xfId="0" applyNumberFormat="1" applyFont="1"/>
    <xf numFmtId="4" fontId="7" fillId="0" borderId="0" xfId="0" applyNumberFormat="1" applyFont="1"/>
    <xf numFmtId="2" fontId="6" fillId="0" borderId="0" xfId="0" applyNumberFormat="1" applyFont="1"/>
    <xf numFmtId="2" fontId="6" fillId="0" borderId="4" xfId="0" applyNumberFormat="1" applyFont="1" applyBorder="1"/>
    <xf numFmtId="2" fontId="11" fillId="0" borderId="0" xfId="0" applyNumberFormat="1" applyFont="1"/>
    <xf numFmtId="43" fontId="7" fillId="0" borderId="0" xfId="1" applyFont="1" applyFill="1" applyBorder="1"/>
    <xf numFmtId="43" fontId="7" fillId="0" borderId="5" xfId="1" applyFont="1" applyFill="1" applyBorder="1"/>
    <xf numFmtId="43" fontId="6" fillId="0" borderId="5" xfId="1" applyFont="1" applyFill="1" applyBorder="1"/>
    <xf numFmtId="43" fontId="6" fillId="0" borderId="4" xfId="1" applyFont="1" applyFill="1" applyBorder="1"/>
    <xf numFmtId="43" fontId="7" fillId="0" borderId="4" xfId="1" applyFont="1" applyFill="1" applyBorder="1"/>
    <xf numFmtId="4" fontId="7" fillId="0" borderId="4" xfId="0" applyNumberFormat="1" applyFont="1" applyBorder="1"/>
    <xf numFmtId="4" fontId="6" fillId="0" borderId="4" xfId="0" applyNumberFormat="1" applyFont="1" applyBorder="1"/>
    <xf numFmtId="4" fontId="11" fillId="0" borderId="0" xfId="0" applyNumberFormat="1" applyFont="1"/>
    <xf numFmtId="2" fontId="7" fillId="0" borderId="5" xfId="0" applyNumberFormat="1" applyFont="1" applyBorder="1"/>
    <xf numFmtId="2" fontId="11" fillId="0" borderId="4" xfId="0" applyNumberFormat="1" applyFont="1" applyBorder="1"/>
    <xf numFmtId="2" fontId="7" fillId="0" borderId="0" xfId="0" applyNumberFormat="1" applyFont="1" applyAlignment="1">
      <alignment horizontal="right"/>
    </xf>
    <xf numFmtId="2" fontId="7" fillId="0" borderId="4" xfId="0" applyNumberFormat="1" applyFont="1" applyBorder="1" applyAlignment="1">
      <alignment horizontal="right"/>
    </xf>
    <xf numFmtId="3" fontId="14" fillId="0" borderId="0" xfId="0" applyNumberFormat="1" applyFont="1" applyAlignment="1">
      <alignment horizontal="right"/>
    </xf>
    <xf numFmtId="3" fontId="14" fillId="0" borderId="4" xfId="0" applyNumberFormat="1" applyFont="1" applyBorder="1" applyAlignment="1">
      <alignment horizontal="right"/>
    </xf>
    <xf numFmtId="3" fontId="11" fillId="0" borderId="0" xfId="0" applyNumberFormat="1" applyFont="1" applyAlignment="1">
      <alignment horizontal="right"/>
    </xf>
    <xf numFmtId="3" fontId="11" fillId="0" borderId="4" xfId="0" applyNumberFormat="1" applyFont="1" applyBorder="1" applyAlignment="1">
      <alignment horizontal="right"/>
    </xf>
    <xf numFmtId="3" fontId="7" fillId="0" borderId="4" xfId="1" applyNumberFormat="1" applyFont="1" applyFill="1" applyBorder="1"/>
    <xf numFmtId="0" fontId="3" fillId="3" borderId="0" xfId="0" applyFont="1" applyFill="1"/>
    <xf numFmtId="0" fontId="22" fillId="3" borderId="0" xfId="0" applyFont="1" applyFill="1"/>
    <xf numFmtId="0" fontId="8" fillId="0" borderId="0" xfId="0" applyFont="1" applyAlignment="1">
      <alignment horizontal="right"/>
    </xf>
    <xf numFmtId="0" fontId="9" fillId="0" borderId="0" xfId="0" applyFont="1" applyAlignment="1">
      <alignment horizontal="right"/>
    </xf>
    <xf numFmtId="164" fontId="8"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right" vertical="center"/>
    </xf>
    <xf numFmtId="3" fontId="8" fillId="0" borderId="0" xfId="0" applyNumberFormat="1" applyFont="1" applyAlignment="1">
      <alignment horizontal="right"/>
    </xf>
    <xf numFmtId="9" fontId="8" fillId="0" borderId="0" xfId="2" applyFont="1" applyAlignment="1">
      <alignment horizontal="right"/>
    </xf>
    <xf numFmtId="9" fontId="6" fillId="0" borderId="4" xfId="2" applyFont="1" applyFill="1" applyBorder="1"/>
    <xf numFmtId="0" fontId="36" fillId="0" borderId="0" xfId="0" applyFont="1"/>
    <xf numFmtId="0" fontId="37" fillId="0" borderId="0" xfId="0" applyFont="1" applyAlignment="1">
      <alignment horizontal="left"/>
    </xf>
    <xf numFmtId="0" fontId="2" fillId="2" borderId="0" xfId="0" applyFont="1" applyFill="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4" fillId="3" borderId="0" xfId="0" applyFont="1" applyFill="1" applyAlignment="1">
      <alignment horizontal="left" vertical="center"/>
    </xf>
    <xf numFmtId="0" fontId="9" fillId="3" borderId="0" xfId="0" applyFont="1" applyFill="1"/>
    <xf numFmtId="0" fontId="8" fillId="3" borderId="0" xfId="0" applyFont="1" applyFill="1" applyAlignment="1">
      <alignment horizontal="left" vertical="center"/>
    </xf>
    <xf numFmtId="0" fontId="8" fillId="3" borderId="0" xfId="0" applyFont="1" applyFill="1"/>
    <xf numFmtId="0" fontId="8" fillId="3" borderId="0" xfId="0" applyFont="1" applyFill="1" applyAlignment="1">
      <alignment horizontal="right"/>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3" borderId="0" xfId="0" applyFont="1" applyFill="1" applyAlignment="1">
      <alignment vertical="center"/>
    </xf>
    <xf numFmtId="0" fontId="4" fillId="0" borderId="12" xfId="0" applyFont="1" applyBorder="1" applyAlignment="1">
      <alignment horizontal="left" vertical="center" wrapText="1"/>
    </xf>
    <xf numFmtId="0" fontId="8" fillId="0" borderId="0" xfId="0" applyFont="1" applyAlignment="1">
      <alignment vertical="center"/>
    </xf>
    <xf numFmtId="0" fontId="38" fillId="0" borderId="0" xfId="0" applyFont="1"/>
    <xf numFmtId="0" fontId="39" fillId="0" borderId="0" xfId="0" applyFont="1" applyAlignment="1">
      <alignment horizontal="left"/>
    </xf>
    <xf numFmtId="0" fontId="38" fillId="0" borderId="0" xfId="0" applyFont="1" applyAlignment="1">
      <alignment horizontal="left"/>
    </xf>
    <xf numFmtId="0" fontId="40" fillId="0" borderId="0" xfId="0" applyFont="1" applyAlignment="1">
      <alignment horizontal="left"/>
    </xf>
    <xf numFmtId="0" fontId="41" fillId="0" borderId="0" xfId="0" applyFont="1" applyAlignment="1">
      <alignment horizontal="left"/>
    </xf>
    <xf numFmtId="0" fontId="41" fillId="0" borderId="0" xfId="0" applyFont="1" applyAlignment="1">
      <alignment horizontal="left" vertical="center"/>
    </xf>
    <xf numFmtId="0" fontId="9" fillId="0" borderId="0" xfId="0" applyFont="1" applyAlignment="1">
      <alignment wrapText="1"/>
    </xf>
    <xf numFmtId="3" fontId="8" fillId="0" borderId="0" xfId="0" applyNumberFormat="1" applyFont="1"/>
    <xf numFmtId="0" fontId="8" fillId="0" borderId="0" xfId="0" applyFont="1" applyAlignment="1">
      <alignment wrapText="1"/>
    </xf>
    <xf numFmtId="3" fontId="3" fillId="0" borderId="0" xfId="0" applyNumberFormat="1" applyFont="1" applyAlignment="1">
      <alignment horizontal="left"/>
    </xf>
    <xf numFmtId="3" fontId="9" fillId="0" borderId="0" xfId="0" applyNumberFormat="1" applyFont="1" applyAlignment="1">
      <alignment horizontal="right"/>
    </xf>
    <xf numFmtId="4" fontId="8" fillId="0" borderId="0" xfId="2" applyNumberFormat="1" applyFont="1" applyAlignment="1">
      <alignment horizontal="right"/>
    </xf>
    <xf numFmtId="0" fontId="7" fillId="0" borderId="0" xfId="0" applyFont="1" applyAlignment="1">
      <alignment horizontal="left" wrapText="1"/>
    </xf>
    <xf numFmtId="170" fontId="8" fillId="0" borderId="0" xfId="0" applyNumberFormat="1" applyFont="1" applyAlignment="1">
      <alignment horizontal="right" vertical="center"/>
    </xf>
    <xf numFmtId="171" fontId="8" fillId="0" borderId="0" xfId="0" applyNumberFormat="1" applyFont="1" applyAlignment="1">
      <alignment horizontal="right" vertical="center"/>
    </xf>
    <xf numFmtId="170" fontId="9" fillId="0" borderId="0" xfId="0" applyNumberFormat="1" applyFont="1" applyAlignment="1">
      <alignment horizontal="right" vertical="center"/>
    </xf>
    <xf numFmtId="172" fontId="8" fillId="0" borderId="0" xfId="2" applyNumberFormat="1" applyFont="1" applyAlignment="1">
      <alignment horizontal="right" vertical="center"/>
    </xf>
    <xf numFmtId="173" fontId="8" fillId="0" borderId="0" xfId="2" applyNumberFormat="1" applyFont="1" applyAlignment="1">
      <alignment horizontal="right" vertical="center"/>
    </xf>
    <xf numFmtId="174" fontId="8" fillId="0" borderId="0" xfId="2" applyNumberFormat="1" applyFont="1" applyAlignment="1">
      <alignment horizontal="right" vertical="center"/>
    </xf>
    <xf numFmtId="174" fontId="9" fillId="0" borderId="0" xfId="2" applyNumberFormat="1" applyFont="1" applyAlignment="1">
      <alignment horizontal="right" vertical="center"/>
    </xf>
    <xf numFmtId="175" fontId="8" fillId="0" borderId="0" xfId="0" applyNumberFormat="1" applyFont="1" applyAlignment="1">
      <alignment horizontal="right" vertical="center"/>
    </xf>
    <xf numFmtId="176" fontId="8" fillId="0" borderId="0" xfId="0" applyNumberFormat="1" applyFont="1" applyAlignment="1">
      <alignment horizontal="right"/>
    </xf>
    <xf numFmtId="0" fontId="2" fillId="2" borderId="3" xfId="0" applyFont="1" applyFill="1" applyBorder="1" applyAlignment="1">
      <alignment horizontal="center" vertical="center"/>
    </xf>
    <xf numFmtId="0" fontId="8" fillId="0" borderId="14" xfId="0" applyFont="1" applyBorder="1" applyAlignment="1">
      <alignment horizontal="right"/>
    </xf>
    <xf numFmtId="170" fontId="8" fillId="0" borderId="14" xfId="0" applyNumberFormat="1" applyFont="1" applyBorder="1" applyAlignment="1">
      <alignment horizontal="right" vertical="center"/>
    </xf>
    <xf numFmtId="170" fontId="9" fillId="0" borderId="14" xfId="0" applyNumberFormat="1" applyFont="1" applyBorder="1" applyAlignment="1">
      <alignment horizontal="right" vertical="center"/>
    </xf>
    <xf numFmtId="3" fontId="8" fillId="0" borderId="14" xfId="0" applyNumberFormat="1" applyFont="1" applyBorder="1" applyAlignment="1">
      <alignment horizontal="right" vertical="center"/>
    </xf>
    <xf numFmtId="164" fontId="8" fillId="0" borderId="14" xfId="0" applyNumberFormat="1" applyFont="1" applyBorder="1" applyAlignment="1">
      <alignment horizontal="right" vertical="center"/>
    </xf>
    <xf numFmtId="172" fontId="8" fillId="0" borderId="14" xfId="2" applyNumberFormat="1" applyFont="1" applyBorder="1" applyAlignment="1">
      <alignment horizontal="right" vertical="center"/>
    </xf>
    <xf numFmtId="171" fontId="8" fillId="0" borderId="14" xfId="0" applyNumberFormat="1" applyFont="1" applyBorder="1" applyAlignment="1">
      <alignment horizontal="right" vertical="center"/>
    </xf>
    <xf numFmtId="174" fontId="9" fillId="0" borderId="14" xfId="2" applyNumberFormat="1" applyFont="1" applyBorder="1" applyAlignment="1">
      <alignment horizontal="right" vertical="center"/>
    </xf>
    <xf numFmtId="175" fontId="8" fillId="0" borderId="14" xfId="0" applyNumberFormat="1" applyFont="1" applyBorder="1" applyAlignment="1">
      <alignment horizontal="right" vertical="center"/>
    </xf>
    <xf numFmtId="4" fontId="8" fillId="0" borderId="14" xfId="2" applyNumberFormat="1" applyFont="1" applyBorder="1" applyAlignment="1">
      <alignment horizontal="right"/>
    </xf>
    <xf numFmtId="176" fontId="8" fillId="0" borderId="14" xfId="0" applyNumberFormat="1" applyFont="1" applyBorder="1" applyAlignment="1">
      <alignment horizontal="right"/>
    </xf>
    <xf numFmtId="174" fontId="8" fillId="0" borderId="14" xfId="2" applyNumberFormat="1" applyFont="1" applyBorder="1" applyAlignment="1">
      <alignment horizontal="right" vertical="center"/>
    </xf>
    <xf numFmtId="173" fontId="8" fillId="0" borderId="14" xfId="2" applyNumberFormat="1" applyFont="1" applyBorder="1" applyAlignment="1">
      <alignment horizontal="right" vertical="center"/>
    </xf>
    <xf numFmtId="9" fontId="8" fillId="0" borderId="14" xfId="2" applyFont="1" applyBorder="1" applyAlignment="1">
      <alignment horizontal="right"/>
    </xf>
    <xf numFmtId="3" fontId="8" fillId="0" borderId="14" xfId="0" applyNumberFormat="1" applyFont="1" applyBorder="1" applyAlignment="1">
      <alignment horizontal="right"/>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5" xfId="0" applyFont="1" applyFill="1" applyBorder="1" applyAlignment="1">
      <alignment horizontal="right" vertical="center"/>
    </xf>
    <xf numFmtId="0" fontId="8" fillId="0" borderId="0" xfId="0" applyFont="1" applyAlignment="1">
      <alignment horizontal="right" vertical="center"/>
    </xf>
    <xf numFmtId="0" fontId="2" fillId="2" borderId="0" xfId="0" applyFont="1" applyFill="1" applyAlignment="1">
      <alignment horizontal="right" vertical="center"/>
    </xf>
    <xf numFmtId="3" fontId="9" fillId="0" borderId="14" xfId="0" applyNumberFormat="1" applyFont="1" applyBorder="1" applyAlignment="1">
      <alignment horizontal="right" vertical="center"/>
    </xf>
    <xf numFmtId="177" fontId="8" fillId="0" borderId="0" xfId="0" applyNumberFormat="1" applyFont="1" applyAlignment="1">
      <alignment horizontal="right"/>
    </xf>
    <xf numFmtId="177" fontId="8" fillId="0" borderId="0" xfId="2" applyNumberFormat="1" applyFont="1" applyAlignment="1">
      <alignment horizontal="right" vertical="center"/>
    </xf>
    <xf numFmtId="175" fontId="8" fillId="0" borderId="0" xfId="0" applyNumberFormat="1" applyFont="1" applyAlignment="1">
      <alignment horizontal="right"/>
    </xf>
    <xf numFmtId="166" fontId="8" fillId="0" borderId="0" xfId="0" applyNumberFormat="1" applyFont="1" applyAlignment="1">
      <alignment horizontal="right"/>
    </xf>
    <xf numFmtId="3" fontId="8" fillId="3" borderId="0" xfId="0" applyNumberFormat="1" applyFont="1" applyFill="1"/>
    <xf numFmtId="178" fontId="9" fillId="0" borderId="0" xfId="0" applyNumberFormat="1" applyFont="1" applyAlignment="1">
      <alignment horizontal="right" vertical="center"/>
    </xf>
    <xf numFmtId="10" fontId="8" fillId="0" borderId="0" xfId="2" applyNumberFormat="1" applyFont="1" applyAlignment="1">
      <alignment horizontal="right"/>
    </xf>
    <xf numFmtId="4" fontId="8" fillId="0" borderId="0" xfId="0" applyNumberFormat="1" applyFont="1"/>
    <xf numFmtId="9" fontId="8" fillId="0" borderId="0" xfId="0" applyNumberFormat="1" applyFont="1" applyAlignment="1">
      <alignment horizontal="right"/>
    </xf>
    <xf numFmtId="0" fontId="2" fillId="2" borderId="14" xfId="0" applyFont="1" applyFill="1" applyBorder="1" applyAlignment="1">
      <alignment horizontal="right" vertical="center"/>
    </xf>
    <xf numFmtId="10" fontId="8" fillId="0" borderId="14" xfId="2" applyNumberFormat="1" applyFont="1" applyBorder="1" applyAlignment="1">
      <alignment horizontal="right"/>
    </xf>
    <xf numFmtId="167" fontId="8" fillId="0" borderId="0" xfId="2" applyNumberFormat="1" applyFont="1" applyAlignment="1">
      <alignment horizontal="right"/>
    </xf>
    <xf numFmtId="9" fontId="8" fillId="0" borderId="0" xfId="2" applyFont="1" applyBorder="1" applyAlignment="1">
      <alignment horizontal="right"/>
    </xf>
    <xf numFmtId="4" fontId="8" fillId="0" borderId="0" xfId="2" applyNumberFormat="1" applyFont="1" applyBorder="1" applyAlignment="1">
      <alignment horizontal="right"/>
    </xf>
    <xf numFmtId="177" fontId="8" fillId="0" borderId="0" xfId="2" applyNumberFormat="1" applyFont="1" applyBorder="1" applyAlignment="1">
      <alignment horizontal="right" vertical="center"/>
    </xf>
    <xf numFmtId="0" fontId="43" fillId="0" borderId="0" xfId="0" applyFont="1"/>
    <xf numFmtId="170" fontId="8" fillId="0" borderId="0" xfId="0" applyNumberFormat="1" applyFont="1" applyAlignment="1">
      <alignment vertical="center"/>
    </xf>
    <xf numFmtId="172" fontId="8" fillId="0" borderId="0" xfId="2" applyNumberFormat="1" applyFont="1" applyBorder="1" applyAlignment="1">
      <alignment horizontal="right" vertical="center"/>
    </xf>
    <xf numFmtId="174" fontId="9" fillId="0" borderId="0" xfId="2" applyNumberFormat="1" applyFont="1" applyBorder="1" applyAlignment="1">
      <alignment horizontal="right" vertical="center"/>
    </xf>
    <xf numFmtId="10" fontId="8" fillId="0" borderId="0" xfId="2" applyNumberFormat="1" applyFont="1" applyBorder="1" applyAlignment="1">
      <alignment horizontal="right"/>
    </xf>
    <xf numFmtId="174" fontId="8" fillId="0" borderId="0" xfId="2" applyNumberFormat="1" applyFont="1" applyBorder="1" applyAlignment="1">
      <alignment horizontal="right" vertical="center"/>
    </xf>
    <xf numFmtId="173" fontId="8" fillId="0" borderId="0" xfId="2" applyNumberFormat="1" applyFont="1" applyBorder="1" applyAlignment="1">
      <alignment horizontal="right" vertical="center"/>
    </xf>
    <xf numFmtId="170" fontId="8" fillId="0" borderId="0" xfId="0" applyNumberFormat="1" applyFont="1" applyAlignment="1">
      <alignment horizontal="right"/>
    </xf>
    <xf numFmtId="9" fontId="8" fillId="0" borderId="0" xfId="0" applyNumberFormat="1" applyFont="1" applyAlignment="1">
      <alignment horizontal="right" vertical="center"/>
    </xf>
    <xf numFmtId="9" fontId="11" fillId="0" borderId="0" xfId="2" applyFont="1" applyBorder="1" applyAlignment="1">
      <alignment horizontal="right"/>
    </xf>
    <xf numFmtId="171" fontId="6" fillId="0" borderId="0" xfId="0" applyNumberFormat="1" applyFont="1" applyAlignment="1">
      <alignment horizontal="right" vertical="center"/>
    </xf>
    <xf numFmtId="170" fontId="6" fillId="0" borderId="0" xfId="0" applyNumberFormat="1" applyFont="1" applyAlignment="1">
      <alignment horizontal="right" vertical="center"/>
    </xf>
    <xf numFmtId="175" fontId="6" fillId="0" borderId="0" xfId="0" applyNumberFormat="1" applyFont="1" applyAlignment="1">
      <alignment horizontal="right" vertical="center"/>
    </xf>
    <xf numFmtId="179" fontId="8" fillId="0" borderId="0" xfId="0" applyNumberFormat="1" applyFont="1" applyAlignment="1">
      <alignment horizontal="right" vertical="center"/>
    </xf>
    <xf numFmtId="170" fontId="8" fillId="0" borderId="0" xfId="0" applyNumberFormat="1" applyFont="1"/>
    <xf numFmtId="170" fontId="6" fillId="0" borderId="14" xfId="0" applyNumberFormat="1" applyFont="1" applyBorder="1" applyAlignment="1">
      <alignment horizontal="right" vertical="center"/>
    </xf>
    <xf numFmtId="3" fontId="8" fillId="0" borderId="14" xfId="2" applyNumberFormat="1" applyFont="1" applyBorder="1" applyAlignment="1">
      <alignment horizontal="right" vertical="center"/>
    </xf>
    <xf numFmtId="9" fontId="8" fillId="0" borderId="14" xfId="2" applyFont="1" applyBorder="1" applyAlignment="1">
      <alignment horizontal="right" vertical="center"/>
    </xf>
    <xf numFmtId="9" fontId="11" fillId="0" borderId="14" xfId="2" applyFont="1" applyBorder="1" applyAlignment="1">
      <alignment horizontal="right"/>
    </xf>
    <xf numFmtId="171" fontId="6" fillId="0" borderId="14" xfId="0" applyNumberFormat="1" applyFont="1" applyBorder="1" applyAlignment="1">
      <alignment horizontal="right" vertical="center"/>
    </xf>
    <xf numFmtId="175" fontId="6" fillId="0" borderId="14" xfId="0" applyNumberFormat="1" applyFont="1" applyBorder="1" applyAlignment="1">
      <alignment horizontal="right" vertical="center"/>
    </xf>
    <xf numFmtId="3" fontId="6" fillId="0" borderId="14" xfId="0" applyNumberFormat="1" applyFont="1" applyBorder="1" applyAlignment="1">
      <alignment horizontal="right"/>
    </xf>
  </cellXfs>
  <cellStyles count="83">
    <cellStyle name="AF Column - IBM Cognos" xfId="6" xr:uid="{00000000-0005-0000-0000-000000000000}"/>
    <cellStyle name="AF Data - IBM Cognos" xfId="7" xr:uid="{00000000-0005-0000-0000-000001000000}"/>
    <cellStyle name="AF Data 0 - IBM Cognos" xfId="8" xr:uid="{00000000-0005-0000-0000-000002000000}"/>
    <cellStyle name="AF Data 1 - IBM Cognos" xfId="9" xr:uid="{00000000-0005-0000-0000-000003000000}"/>
    <cellStyle name="AF Data 2 - IBM Cognos" xfId="10" xr:uid="{00000000-0005-0000-0000-000004000000}"/>
    <cellStyle name="AF Data 3 - IBM Cognos" xfId="11" xr:uid="{00000000-0005-0000-0000-000005000000}"/>
    <cellStyle name="AF Data 4 - IBM Cognos" xfId="12" xr:uid="{00000000-0005-0000-0000-000006000000}"/>
    <cellStyle name="AF Data 5 - IBM Cognos" xfId="13" xr:uid="{00000000-0005-0000-0000-000007000000}"/>
    <cellStyle name="AF Data Leaf - IBM Cognos" xfId="14" xr:uid="{00000000-0005-0000-0000-000008000000}"/>
    <cellStyle name="AF Header - IBM Cognos" xfId="15" xr:uid="{00000000-0005-0000-0000-000009000000}"/>
    <cellStyle name="AF Header 0 - IBM Cognos" xfId="16" xr:uid="{00000000-0005-0000-0000-00000A000000}"/>
    <cellStyle name="AF Header 1 - IBM Cognos" xfId="17" xr:uid="{00000000-0005-0000-0000-00000B000000}"/>
    <cellStyle name="AF Header 2 - IBM Cognos" xfId="18" xr:uid="{00000000-0005-0000-0000-00000C000000}"/>
    <cellStyle name="AF Header 3 - IBM Cognos" xfId="19" xr:uid="{00000000-0005-0000-0000-00000D000000}"/>
    <cellStyle name="AF Header 4 - IBM Cognos" xfId="20" xr:uid="{00000000-0005-0000-0000-00000E000000}"/>
    <cellStyle name="AF Header 5 - IBM Cognos" xfId="21" xr:uid="{00000000-0005-0000-0000-00000F000000}"/>
    <cellStyle name="AF Header Leaf - IBM Cognos" xfId="22" xr:uid="{00000000-0005-0000-0000-000010000000}"/>
    <cellStyle name="AF Row - IBM Cognos" xfId="23" xr:uid="{00000000-0005-0000-0000-000011000000}"/>
    <cellStyle name="AF Row 0 - IBM Cognos" xfId="24" xr:uid="{00000000-0005-0000-0000-000012000000}"/>
    <cellStyle name="AF Row 1 - IBM Cognos" xfId="25" xr:uid="{00000000-0005-0000-0000-000013000000}"/>
    <cellStyle name="AF Row 2 - IBM Cognos" xfId="26" xr:uid="{00000000-0005-0000-0000-000014000000}"/>
    <cellStyle name="AF Row 3 - IBM Cognos" xfId="27" xr:uid="{00000000-0005-0000-0000-000015000000}"/>
    <cellStyle name="AF Row 4 - IBM Cognos" xfId="28" xr:uid="{00000000-0005-0000-0000-000016000000}"/>
    <cellStyle name="AF Row 5 - IBM Cognos" xfId="29" xr:uid="{00000000-0005-0000-0000-000017000000}"/>
    <cellStyle name="AF Row Leaf - IBM Cognos" xfId="30" xr:uid="{00000000-0005-0000-0000-000018000000}"/>
    <cellStyle name="AF Subnm - IBM Cognos" xfId="31" xr:uid="{00000000-0005-0000-0000-000019000000}"/>
    <cellStyle name="AF Title - IBM Cognos" xfId="32" xr:uid="{00000000-0005-0000-0000-00001A000000}"/>
    <cellStyle name="Calculated Column - IBM Cognos" xfId="33" xr:uid="{00000000-0005-0000-0000-00001B000000}"/>
    <cellStyle name="Calculated Column Name - IBM Cognos" xfId="34" xr:uid="{00000000-0005-0000-0000-00001C000000}"/>
    <cellStyle name="Calculated Row - IBM Cognos" xfId="35" xr:uid="{00000000-0005-0000-0000-00001D000000}"/>
    <cellStyle name="Calculated Row Name - IBM Cognos" xfId="36" xr:uid="{00000000-0005-0000-0000-00001E000000}"/>
    <cellStyle name="Column Name - IBM Cognos" xfId="37" xr:uid="{00000000-0005-0000-0000-00001F000000}"/>
    <cellStyle name="Column Template - IBM Cognos" xfId="38" xr:uid="{00000000-0005-0000-0000-000020000000}"/>
    <cellStyle name="Comma" xfId="1" builtinId="3"/>
    <cellStyle name="Comma 2" xfId="4" xr:uid="{00000000-0005-0000-0000-000022000000}"/>
    <cellStyle name="Comma 2 2" xfId="62" xr:uid="{9FBD3EB8-A976-4B38-8706-A721A05EDA81}"/>
    <cellStyle name="Comma 3" xfId="61" xr:uid="{BFECC0A2-41B7-443C-BBA1-953F5C26A838}"/>
    <cellStyle name="Differs From Base - IBM Cognos" xfId="39" xr:uid="{00000000-0005-0000-0000-000023000000}"/>
    <cellStyle name="DQR Column 0 - IBM Cognos" xfId="63" xr:uid="{450C289B-1123-442F-A9CB-07542C15CFB1}"/>
    <cellStyle name="DQR Column 1 - IBM Cognos" xfId="64" xr:uid="{2F768BD8-15E0-4951-A7E0-7CA7A03310D8}"/>
    <cellStyle name="DQR Column 2 - IBM Cognos" xfId="65" xr:uid="{1FB2ED68-5CBB-485A-8DA9-160BB1AEE8A1}"/>
    <cellStyle name="DQR Column 3 - IBM Cognos" xfId="66" xr:uid="{0E85D292-D351-4F67-9EA3-D14D59D2A58F}"/>
    <cellStyle name="DQR Column 4 - IBM Cognos" xfId="67" xr:uid="{02410464-1FA9-40A3-87BD-5B57237C89BE}"/>
    <cellStyle name="DQR Column 5 - IBM Cognos" xfId="68" xr:uid="{A901DFBB-EFAF-492B-AEBF-02A8D2501650}"/>
    <cellStyle name="DQR Column Default - IBM Cognos" xfId="69" xr:uid="{152E68E2-5B28-43F4-A0F7-899FC1B3CE79}"/>
    <cellStyle name="DQR Column Leaf - IBM Cognos" xfId="70" xr:uid="{D6B80928-98CE-4AF9-B80E-17FFB80B52F2}"/>
    <cellStyle name="DQR Data Default - IBM Cognos" xfId="71" xr:uid="{B8DB570E-48F5-40B6-A2CC-7DE425B3387C}"/>
    <cellStyle name="DQR Default - IBM Cognos" xfId="72" xr:uid="{470A4CE1-9E75-42F9-8F06-87124C903A81}"/>
    <cellStyle name="DQR Gutter Default - IBM Cognos" xfId="73" xr:uid="{17F72D12-61E5-4409-93F0-CFBD20D62FCE}"/>
    <cellStyle name="DQR Gutter Default (OFF) - IBM Cognos" xfId="74" xr:uid="{1E5FBDBC-7D8C-46A7-91E4-7FAB143E2E72}"/>
    <cellStyle name="DQR Row 0 - IBM Cognos" xfId="75" xr:uid="{C22C8E8F-FFAB-4094-91ED-A3ED01D84CBF}"/>
    <cellStyle name="DQR Row 1 - IBM Cognos" xfId="76" xr:uid="{CD017914-D353-419C-9C43-31584251F609}"/>
    <cellStyle name="DQR Row 2 - IBM Cognos" xfId="77" xr:uid="{70B1A778-B82D-46FE-B3AC-1596561FC7EB}"/>
    <cellStyle name="DQR Row 3 - IBM Cognos" xfId="78" xr:uid="{A95CD998-8B7F-435F-A49D-041A2E1F2D6A}"/>
    <cellStyle name="DQR Row 4 - IBM Cognos" xfId="79" xr:uid="{EE64A6CC-E82D-464B-B680-A27D8CB90927}"/>
    <cellStyle name="DQR Row 5 - IBM Cognos" xfId="80" xr:uid="{5CE759F2-CA37-493B-A375-018F35C7287F}"/>
    <cellStyle name="DQR Row Default - IBM Cognos" xfId="81" xr:uid="{0E926C08-662E-419F-9A82-629B4C887BCF}"/>
    <cellStyle name="DQR Row Leaf - IBM Cognos" xfId="82" xr:uid="{314664D3-75CB-4C25-8C9D-F6BD02A01D5B}"/>
    <cellStyle name="Edit - IBM Cognos" xfId="40" xr:uid="{00000000-0005-0000-0000-000024000000}"/>
    <cellStyle name="Formula - IBM Cognos" xfId="41" xr:uid="{00000000-0005-0000-0000-000025000000}"/>
    <cellStyle name="Group Name - IBM Cognos" xfId="42" xr:uid="{00000000-0005-0000-0000-000026000000}"/>
    <cellStyle name="Hold Values - IBM Cognos" xfId="43" xr:uid="{00000000-0005-0000-0000-000027000000}"/>
    <cellStyle name="List Name - IBM Cognos" xfId="44" xr:uid="{00000000-0005-0000-0000-000028000000}"/>
    <cellStyle name="Locked - IBM Cognos" xfId="45" xr:uid="{00000000-0005-0000-0000-000029000000}"/>
    <cellStyle name="Measure - IBM Cognos" xfId="46" xr:uid="{00000000-0005-0000-0000-00002A000000}"/>
    <cellStyle name="Measure Header - IBM Cognos" xfId="47" xr:uid="{00000000-0005-0000-0000-00002B000000}"/>
    <cellStyle name="Measure Name - IBM Cognos" xfId="48" xr:uid="{00000000-0005-0000-0000-00002C000000}"/>
    <cellStyle name="Measure Summary - IBM Cognos" xfId="49" xr:uid="{00000000-0005-0000-0000-00002D000000}"/>
    <cellStyle name="Measure Summary TM1 - IBM Cognos" xfId="50" xr:uid="{00000000-0005-0000-0000-00002E000000}"/>
    <cellStyle name="Measure Template - IBM Cognos" xfId="51" xr:uid="{00000000-0005-0000-0000-00002F000000}"/>
    <cellStyle name="More - IBM Cognos" xfId="52" xr:uid="{00000000-0005-0000-0000-000030000000}"/>
    <cellStyle name="Normal" xfId="0" builtinId="0"/>
    <cellStyle name="Normal 2" xfId="3" xr:uid="{00000000-0005-0000-0000-000032000000}"/>
    <cellStyle name="Pending Change - IBM Cognos" xfId="53" xr:uid="{00000000-0005-0000-0000-000033000000}"/>
    <cellStyle name="Per cent" xfId="2" builtinId="5"/>
    <cellStyle name="Percent 2" xfId="5" xr:uid="{00000000-0005-0000-0000-000035000000}"/>
    <cellStyle name="Row Name - IBM Cognos" xfId="54" xr:uid="{00000000-0005-0000-0000-000036000000}"/>
    <cellStyle name="Row Template - IBM Cognos" xfId="55" xr:uid="{00000000-0005-0000-0000-000037000000}"/>
    <cellStyle name="Summary Column Name - IBM Cognos" xfId="56" xr:uid="{00000000-0005-0000-0000-000038000000}"/>
    <cellStyle name="Summary Column Name TM1 - IBM Cognos" xfId="57" xr:uid="{00000000-0005-0000-0000-000039000000}"/>
    <cellStyle name="Summary Row Name - IBM Cognos" xfId="58" xr:uid="{00000000-0005-0000-0000-00003A000000}"/>
    <cellStyle name="Summary Row Name TM1 - IBM Cognos" xfId="59" xr:uid="{00000000-0005-0000-0000-00003B000000}"/>
    <cellStyle name="Unsaved Change - IBM Cognos"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1</xdr:col>
      <xdr:colOff>2714625</xdr:colOff>
      <xdr:row>3</xdr:row>
      <xdr:rowOff>48591</xdr:rowOff>
    </xdr:to>
    <xdr:pic>
      <xdr:nvPicPr>
        <xdr:cNvPr id="2" name="Picture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52400"/>
          <a:ext cx="2676525" cy="318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466725</xdr:rowOff>
    </xdr:from>
    <xdr:to>
      <xdr:col>0</xdr:col>
      <xdr:colOff>2676525</xdr:colOff>
      <xdr:row>0</xdr:row>
      <xdr:rowOff>781050</xdr:rowOff>
    </xdr:to>
    <xdr:pic>
      <xdr:nvPicPr>
        <xdr:cNvPr id="4" name="Picture 4">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725"/>
          <a:ext cx="26765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8.83203125" defaultRowHeight="15" x14ac:dyDescent="0.2"/>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X132"/>
  <sheetViews>
    <sheetView showGridLines="0" tabSelected="1" zoomScaleNormal="100" workbookViewId="0">
      <pane xSplit="2" ySplit="5" topLeftCell="AB6" activePane="bottomRight" state="frozen"/>
      <selection pane="topRight" activeCell="C1" sqref="C1"/>
      <selection pane="bottomLeft" activeCell="A3" sqref="A3"/>
      <selection pane="bottomRight" activeCell="AK5" sqref="AK5"/>
    </sheetView>
  </sheetViews>
  <sheetFormatPr baseColWidth="10" defaultColWidth="9.1640625" defaultRowHeight="11" outlineLevelCol="1" x14ac:dyDescent="0.15"/>
  <cols>
    <col min="1" max="1" width="2.33203125" style="11" customWidth="1"/>
    <col min="2" max="2" width="49.5" style="11" customWidth="1"/>
    <col min="3" max="27" width="9.83203125" style="210" hidden="1" customWidth="1" outlineLevel="1"/>
    <col min="28" max="28" width="9.83203125" style="210" customWidth="1" collapsed="1"/>
    <col min="29" max="37" width="9.83203125" style="210" customWidth="1"/>
    <col min="38" max="38" width="14.5" style="210" bestFit="1" customWidth="1"/>
    <col min="39" max="47" width="9.83203125" style="210" customWidth="1"/>
    <col min="48" max="48" width="16" style="11" bestFit="1" customWidth="1"/>
    <col min="49" max="50" width="9.1640625" style="294"/>
    <col min="51" max="16384" width="9.1640625" style="11"/>
  </cols>
  <sheetData>
    <row r="2" spans="1:47" x14ac:dyDescent="0.15">
      <c r="AL2" s="301"/>
    </row>
    <row r="3" spans="1:47" x14ac:dyDescent="0.15">
      <c r="AH3" s="301"/>
      <c r="AI3" s="301"/>
      <c r="AJ3" s="301"/>
      <c r="AM3" s="301"/>
      <c r="AN3" s="301"/>
      <c r="AO3" s="301"/>
      <c r="AP3" s="301"/>
      <c r="AQ3" s="301"/>
      <c r="AR3" s="301"/>
      <c r="AS3" s="301"/>
      <c r="AT3" s="301"/>
      <c r="AU3" s="301"/>
    </row>
    <row r="5" spans="1:47" s="233" customFormat="1" x14ac:dyDescent="0.2">
      <c r="B5" s="220" t="s">
        <v>0</v>
      </c>
      <c r="C5" s="9" t="s">
        <v>175</v>
      </c>
      <c r="D5" s="256" t="s">
        <v>131</v>
      </c>
      <c r="E5" s="10" t="s">
        <v>132</v>
      </c>
      <c r="F5" s="10" t="s">
        <v>133</v>
      </c>
      <c r="G5" s="9" t="s">
        <v>134</v>
      </c>
      <c r="H5" s="272" t="s">
        <v>15</v>
      </c>
      <c r="I5" s="273" t="s">
        <v>16</v>
      </c>
      <c r="J5" s="273" t="s">
        <v>17</v>
      </c>
      <c r="K5" s="274" t="s">
        <v>18</v>
      </c>
      <c r="L5" s="272" t="s">
        <v>19</v>
      </c>
      <c r="M5" s="273" t="s">
        <v>20</v>
      </c>
      <c r="N5" s="273" t="s">
        <v>21</v>
      </c>
      <c r="O5" s="274" t="s">
        <v>322</v>
      </c>
      <c r="P5" s="272" t="s">
        <v>328</v>
      </c>
      <c r="Q5" s="273" t="s">
        <v>331</v>
      </c>
      <c r="R5" s="277" t="s">
        <v>332</v>
      </c>
      <c r="S5" s="274" t="s">
        <v>338</v>
      </c>
      <c r="T5" s="272" t="s">
        <v>339</v>
      </c>
      <c r="U5" s="273" t="s">
        <v>350</v>
      </c>
      <c r="V5" s="277" t="s">
        <v>352</v>
      </c>
      <c r="W5" s="277" t="s">
        <v>353</v>
      </c>
      <c r="X5" s="272" t="s">
        <v>363</v>
      </c>
      <c r="Y5" s="273" t="s">
        <v>369</v>
      </c>
      <c r="Z5" s="277" t="s">
        <v>376</v>
      </c>
      <c r="AA5" s="277" t="s">
        <v>377</v>
      </c>
      <c r="AB5" s="288" t="s">
        <v>385</v>
      </c>
      <c r="AC5" s="277" t="s">
        <v>386</v>
      </c>
      <c r="AD5" s="277" t="s">
        <v>387</v>
      </c>
      <c r="AE5" s="277" t="s">
        <v>388</v>
      </c>
      <c r="AF5" s="288" t="s">
        <v>390</v>
      </c>
      <c r="AG5" s="288" t="s">
        <v>391</v>
      </c>
      <c r="AH5" s="277" t="s">
        <v>393</v>
      </c>
      <c r="AI5" s="277" t="s">
        <v>394</v>
      </c>
      <c r="AJ5" s="277" t="s">
        <v>399</v>
      </c>
      <c r="AK5" s="288" t="s">
        <v>400</v>
      </c>
      <c r="AL5" s="276"/>
      <c r="AM5" s="277">
        <v>2017</v>
      </c>
      <c r="AN5" s="277">
        <v>2018</v>
      </c>
      <c r="AO5" s="277">
        <v>2019</v>
      </c>
      <c r="AP5" s="277">
        <v>2020</v>
      </c>
      <c r="AQ5" s="277">
        <v>2021</v>
      </c>
      <c r="AR5" s="277">
        <v>2022</v>
      </c>
      <c r="AS5" s="277">
        <v>2023</v>
      </c>
      <c r="AT5" s="277">
        <v>2024</v>
      </c>
      <c r="AU5" s="277">
        <v>2025</v>
      </c>
    </row>
    <row r="6" spans="1:47" x14ac:dyDescent="0.15">
      <c r="D6" s="257"/>
      <c r="H6" s="257"/>
      <c r="L6" s="257"/>
      <c r="P6" s="257"/>
      <c r="T6" s="257"/>
      <c r="X6" s="257"/>
      <c r="AB6" s="257"/>
      <c r="AF6" s="257"/>
      <c r="AJ6" s="257"/>
    </row>
    <row r="7" spans="1:47" x14ac:dyDescent="0.15">
      <c r="B7" s="2" t="s">
        <v>12</v>
      </c>
      <c r="D7" s="257"/>
      <c r="H7" s="257"/>
      <c r="L7" s="257"/>
      <c r="P7" s="257"/>
      <c r="T7" s="257"/>
      <c r="X7" s="257"/>
      <c r="AB7" s="257"/>
      <c r="AF7" s="257"/>
      <c r="AJ7" s="257"/>
    </row>
    <row r="8" spans="1:47" x14ac:dyDescent="0.15">
      <c r="B8" s="3" t="s">
        <v>1</v>
      </c>
      <c r="C8" s="247"/>
      <c r="D8" s="258"/>
      <c r="E8" s="247"/>
      <c r="F8" s="247"/>
      <c r="G8" s="247"/>
      <c r="H8" s="258">
        <v>157.00750410704626</v>
      </c>
      <c r="I8" s="247">
        <v>154.3162989621423</v>
      </c>
      <c r="J8" s="247">
        <v>161.58712967600962</v>
      </c>
      <c r="K8" s="247">
        <v>188.03350833068029</v>
      </c>
      <c r="L8" s="258">
        <v>411.14485716949025</v>
      </c>
      <c r="M8" s="247">
        <v>401.73146652783146</v>
      </c>
      <c r="N8" s="247">
        <v>367.40317730320874</v>
      </c>
      <c r="O8" s="247">
        <v>492.70093946265712</v>
      </c>
      <c r="P8" s="258">
        <v>811.10296834051292</v>
      </c>
      <c r="Q8" s="247">
        <v>462.82934666169194</v>
      </c>
      <c r="R8" s="247">
        <v>445.41072262107497</v>
      </c>
      <c r="S8" s="247">
        <v>501.16760550121995</v>
      </c>
      <c r="T8" s="258">
        <v>534.47943843068094</v>
      </c>
      <c r="U8" s="247">
        <v>360.49543504468608</v>
      </c>
      <c r="V8" s="247">
        <v>381.12177007146096</v>
      </c>
      <c r="W8" s="247">
        <v>343.11290477660503</v>
      </c>
      <c r="X8" s="258">
        <v>418.9913972015878</v>
      </c>
      <c r="Y8" s="247">
        <v>312.60692003146107</v>
      </c>
      <c r="Z8" s="247">
        <v>333.68225732656805</v>
      </c>
      <c r="AA8" s="247">
        <v>354.60774021799898</v>
      </c>
      <c r="AB8" s="258">
        <v>454.90600000000001</v>
      </c>
      <c r="AC8" s="247">
        <v>442.01200000000006</v>
      </c>
      <c r="AD8" s="247">
        <v>430.83699999999999</v>
      </c>
      <c r="AE8" s="247">
        <v>516.16800000000001</v>
      </c>
      <c r="AF8" s="258">
        <v>650.83900000000006</v>
      </c>
      <c r="AG8" s="247">
        <v>537.35299999999995</v>
      </c>
      <c r="AH8" s="247">
        <v>576.274</v>
      </c>
      <c r="AI8" s="247">
        <v>641.553</v>
      </c>
      <c r="AJ8" s="258">
        <v>729.59100000000001</v>
      </c>
      <c r="AK8" s="247">
        <v>738.08699999999999</v>
      </c>
      <c r="AL8" s="248"/>
      <c r="AM8" s="247">
        <v>613.7159320505657</v>
      </c>
      <c r="AN8" s="247">
        <v>616.55311830828543</v>
      </c>
      <c r="AO8" s="247">
        <f t="shared" ref="AO8:AO14" si="0">SUM(H8:K8)</f>
        <v>660.94444107587844</v>
      </c>
      <c r="AP8" s="247">
        <f t="shared" ref="AP8:AP14" si="1">SUM(L8:O8)</f>
        <v>1672.9804404631875</v>
      </c>
      <c r="AQ8" s="247">
        <f>SUM(P8:S8)</f>
        <v>2220.5106431244999</v>
      </c>
      <c r="AR8" s="247">
        <f>SUM(T8:W8)</f>
        <v>1619.2095483234332</v>
      </c>
      <c r="AS8" s="247">
        <f>SUM(X8:AA8)</f>
        <v>1419.888314777616</v>
      </c>
      <c r="AT8" s="247">
        <f>SUM(AB8:AE8)</f>
        <v>1843.9230000000002</v>
      </c>
      <c r="AU8" s="247">
        <f>SUM(AF8:AI8)</f>
        <v>2406.0189999999998</v>
      </c>
    </row>
    <row r="9" spans="1:47" x14ac:dyDescent="0.15">
      <c r="B9" s="4" t="s">
        <v>345</v>
      </c>
      <c r="C9" s="247"/>
      <c r="D9" s="258"/>
      <c r="E9" s="247"/>
      <c r="F9" s="247"/>
      <c r="G9" s="247"/>
      <c r="H9" s="258">
        <v>51.868051732744092</v>
      </c>
      <c r="I9" s="247">
        <v>58.368612032664942</v>
      </c>
      <c r="J9" s="247">
        <v>60.83551143786287</v>
      </c>
      <c r="K9" s="247">
        <v>69.568375645962689</v>
      </c>
      <c r="L9" s="258">
        <v>72.061552444595719</v>
      </c>
      <c r="M9" s="247">
        <v>68.192743577874694</v>
      </c>
      <c r="N9" s="247">
        <v>71.1122865399945</v>
      </c>
      <c r="O9" s="247">
        <v>88.753810698999686</v>
      </c>
      <c r="P9" s="258">
        <v>104.414138933991</v>
      </c>
      <c r="Q9" s="247">
        <v>104.75736167188602</v>
      </c>
      <c r="R9" s="247">
        <v>112.74127675267302</v>
      </c>
      <c r="S9" s="247">
        <v>120.92309873015901</v>
      </c>
      <c r="T9" s="258">
        <v>107.72765330596398</v>
      </c>
      <c r="U9" s="247">
        <v>102.7320511115979</v>
      </c>
      <c r="V9" s="247">
        <v>94.988712404214013</v>
      </c>
      <c r="W9" s="247">
        <v>75.034432812681985</v>
      </c>
      <c r="X9" s="258">
        <v>98.858768392651996</v>
      </c>
      <c r="Y9" s="247">
        <v>102.456105153786</v>
      </c>
      <c r="Z9" s="247">
        <v>107.57350338494601</v>
      </c>
      <c r="AA9" s="247">
        <v>110.92651220302997</v>
      </c>
      <c r="AB9" s="258">
        <v>122.00199999999998</v>
      </c>
      <c r="AC9" s="247">
        <v>136.81200000000001</v>
      </c>
      <c r="AD9" s="247">
        <v>147.24</v>
      </c>
      <c r="AE9" s="247">
        <v>162.245</v>
      </c>
      <c r="AF9" s="258">
        <v>166.92899999999997</v>
      </c>
      <c r="AG9" s="247">
        <v>147.749</v>
      </c>
      <c r="AH9" s="247">
        <v>163.88899999999998</v>
      </c>
      <c r="AI9" s="247">
        <v>181.125</v>
      </c>
      <c r="AJ9" s="258">
        <v>185.935</v>
      </c>
      <c r="AK9" s="247">
        <v>197.82900000000004</v>
      </c>
      <c r="AL9" s="248"/>
      <c r="AM9" s="247">
        <v>173.21605296130767</v>
      </c>
      <c r="AN9" s="247">
        <v>213.35213087969703</v>
      </c>
      <c r="AO9" s="247">
        <f t="shared" si="0"/>
        <v>240.64055084923461</v>
      </c>
      <c r="AP9" s="247">
        <f t="shared" si="1"/>
        <v>300.12039326146459</v>
      </c>
      <c r="AQ9" s="247">
        <f>SUM(P9:S9)</f>
        <v>442.83587608870903</v>
      </c>
      <c r="AR9" s="247">
        <f t="shared" ref="AR9:AR14" si="2">SUM(T9:W9)</f>
        <v>380.48284963445786</v>
      </c>
      <c r="AS9" s="247">
        <f t="shared" ref="AS9:AS14" si="3">SUM(X9:AA9)</f>
        <v>419.81488913441393</v>
      </c>
      <c r="AT9" s="247">
        <f>SUM(AB9:AE9)</f>
        <v>568.29899999999998</v>
      </c>
      <c r="AU9" s="247">
        <f>SUM(AF9:AI9)</f>
        <v>659.69200000000001</v>
      </c>
    </row>
    <row r="10" spans="1:47" x14ac:dyDescent="0.15">
      <c r="B10" s="4" t="s">
        <v>344</v>
      </c>
      <c r="C10" s="247"/>
      <c r="D10" s="258"/>
      <c r="E10" s="247"/>
      <c r="F10" s="247"/>
      <c r="G10" s="247"/>
      <c r="H10" s="258">
        <v>7.7763607279130227</v>
      </c>
      <c r="I10" s="247">
        <v>6.8561760960959894</v>
      </c>
      <c r="J10" s="247">
        <v>8.8209726100610197</v>
      </c>
      <c r="K10" s="247">
        <v>14.837481391415011</v>
      </c>
      <c r="L10" s="258">
        <v>10.282985582368999</v>
      </c>
      <c r="M10" s="247">
        <v>10.642578849060001</v>
      </c>
      <c r="N10" s="247">
        <v>12.632656767764011</v>
      </c>
      <c r="O10" s="247">
        <v>14.017945546903857</v>
      </c>
      <c r="P10" s="258">
        <v>11.343892725496008</v>
      </c>
      <c r="Q10" s="247">
        <v>17.236291666422002</v>
      </c>
      <c r="R10" s="247">
        <v>19.165000626251981</v>
      </c>
      <c r="S10" s="247">
        <v>18.510295768620981</v>
      </c>
      <c r="T10" s="258">
        <v>10.662908263354998</v>
      </c>
      <c r="U10" s="247">
        <v>2.3165138421941327</v>
      </c>
      <c r="V10" s="247">
        <v>8.8375175243250474</v>
      </c>
      <c r="W10" s="247">
        <v>7.6766624107129546</v>
      </c>
      <c r="X10" s="258">
        <v>6.3668344057599704</v>
      </c>
      <c r="Y10" s="247">
        <v>10.973974814752985</v>
      </c>
      <c r="Z10" s="247">
        <v>5.9792393284860141</v>
      </c>
      <c r="AA10" s="247">
        <v>5.2147475789710391</v>
      </c>
      <c r="AB10" s="258">
        <v>2.2559999999999998</v>
      </c>
      <c r="AC10" s="247">
        <v>4.2889999999999997</v>
      </c>
      <c r="AD10" s="247">
        <v>-9.4540000000000006</v>
      </c>
      <c r="AE10" s="247">
        <v>-4.1529999999999996</v>
      </c>
      <c r="AF10" s="258">
        <v>-1.262</v>
      </c>
      <c r="AG10" s="247">
        <v>-4.3120000000000003</v>
      </c>
      <c r="AH10" s="247">
        <v>-2.371</v>
      </c>
      <c r="AI10" s="247">
        <v>-1.0149999999999999</v>
      </c>
      <c r="AJ10" s="258">
        <v>-6.8529999999999998</v>
      </c>
      <c r="AK10" s="247">
        <v>-6.11</v>
      </c>
      <c r="AL10" s="248"/>
      <c r="AM10" s="247">
        <v>16.173014988126575</v>
      </c>
      <c r="AN10" s="247">
        <v>40.28175081201762</v>
      </c>
      <c r="AO10" s="247">
        <f>SUM(H10:K10)</f>
        <v>38.290990825485039</v>
      </c>
      <c r="AP10" s="247">
        <f>SUM(L10:O10)</f>
        <v>47.576166746096874</v>
      </c>
      <c r="AQ10" s="247">
        <f>SUM(P10:S10)</f>
        <v>66.255480786790969</v>
      </c>
      <c r="AR10" s="247">
        <f t="shared" si="2"/>
        <v>29.493602040587131</v>
      </c>
      <c r="AS10" s="247">
        <f t="shared" si="3"/>
        <v>28.534796127970008</v>
      </c>
      <c r="AT10" s="247">
        <f>SUM(AB10:AE10)</f>
        <v>-7.0620000000000003</v>
      </c>
      <c r="AU10" s="247">
        <f>SUM(AF10:AI10)</f>
        <v>-8.9600000000000009</v>
      </c>
    </row>
    <row r="11" spans="1:47" s="12" customFormat="1" x14ac:dyDescent="0.15">
      <c r="A11" s="11"/>
      <c r="B11" s="5" t="s">
        <v>138</v>
      </c>
      <c r="C11" s="249"/>
      <c r="D11" s="259"/>
      <c r="E11" s="249"/>
      <c r="F11" s="249"/>
      <c r="G11" s="249"/>
      <c r="H11" s="259">
        <f t="shared" ref="H11:S11" si="4">SUM(H8:H10)</f>
        <v>216.65191656770338</v>
      </c>
      <c r="I11" s="249">
        <f t="shared" si="4"/>
        <v>219.54108709090323</v>
      </c>
      <c r="J11" s="249">
        <f t="shared" si="4"/>
        <v>231.24361372393349</v>
      </c>
      <c r="K11" s="249">
        <f t="shared" si="4"/>
        <v>272.43936536805796</v>
      </c>
      <c r="L11" s="259">
        <f t="shared" si="4"/>
        <v>493.48939519645495</v>
      </c>
      <c r="M11" s="249">
        <f t="shared" si="4"/>
        <v>480.56678895476614</v>
      </c>
      <c r="N11" s="249">
        <f t="shared" si="4"/>
        <v>451.14812061096723</v>
      </c>
      <c r="O11" s="249">
        <f t="shared" si="4"/>
        <v>595.47269570856065</v>
      </c>
      <c r="P11" s="259">
        <f t="shared" si="4"/>
        <v>926.86099999999999</v>
      </c>
      <c r="Q11" s="249">
        <f t="shared" si="4"/>
        <v>584.82299999999987</v>
      </c>
      <c r="R11" s="249">
        <f t="shared" si="4"/>
        <v>577.31700000000001</v>
      </c>
      <c r="S11" s="249">
        <f t="shared" si="4"/>
        <v>640.60099999999989</v>
      </c>
      <c r="T11" s="259">
        <f t="shared" ref="T11:AA11" si="5">SUM(T8:T10)</f>
        <v>652.86999999999989</v>
      </c>
      <c r="U11" s="249">
        <f t="shared" si="5"/>
        <v>465.54399999847811</v>
      </c>
      <c r="V11" s="249">
        <f t="shared" si="5"/>
        <v>484.94800000000004</v>
      </c>
      <c r="W11" s="249">
        <f t="shared" si="5"/>
        <v>425.82399999999996</v>
      </c>
      <c r="X11" s="259">
        <f t="shared" si="5"/>
        <v>524.21699999999976</v>
      </c>
      <c r="Y11" s="249">
        <f t="shared" si="5"/>
        <v>426.03700000000003</v>
      </c>
      <c r="Z11" s="249">
        <f t="shared" si="5"/>
        <v>447.2350000400001</v>
      </c>
      <c r="AA11" s="249">
        <f t="shared" si="5"/>
        <v>470.74899999999997</v>
      </c>
      <c r="AB11" s="259">
        <v>579.16399999999999</v>
      </c>
      <c r="AC11" s="249">
        <f t="shared" ref="AC11:AK11" si="6">SUM(AC8:AC10)</f>
        <v>583.11300000000006</v>
      </c>
      <c r="AD11" s="249">
        <f t="shared" si="6"/>
        <v>568.62300000000005</v>
      </c>
      <c r="AE11" s="249">
        <f t="shared" si="6"/>
        <v>674.26</v>
      </c>
      <c r="AF11" s="259">
        <f t="shared" si="6"/>
        <v>816.50600000000009</v>
      </c>
      <c r="AG11" s="249">
        <f t="shared" si="6"/>
        <v>680.79</v>
      </c>
      <c r="AH11" s="249">
        <f t="shared" si="6"/>
        <v>737.79200000000003</v>
      </c>
      <c r="AI11" s="249">
        <f t="shared" si="6"/>
        <v>821.66300000000001</v>
      </c>
      <c r="AJ11" s="259">
        <f t="shared" si="6"/>
        <v>908.67300000000012</v>
      </c>
      <c r="AK11" s="249">
        <f t="shared" si="6"/>
        <v>929.80600000000004</v>
      </c>
      <c r="AL11" s="248"/>
      <c r="AM11" s="249">
        <f t="shared" ref="AM11:AS11" si="7">SUM(AM8:AM10)</f>
        <v>803.10500000000002</v>
      </c>
      <c r="AN11" s="249">
        <f t="shared" si="7"/>
        <v>870.18700000000013</v>
      </c>
      <c r="AO11" s="249">
        <f t="shared" si="7"/>
        <v>939.87598275059804</v>
      </c>
      <c r="AP11" s="249">
        <f t="shared" si="7"/>
        <v>2020.6770004707491</v>
      </c>
      <c r="AQ11" s="249">
        <f t="shared" si="7"/>
        <v>2729.6019999999999</v>
      </c>
      <c r="AR11" s="249">
        <f t="shared" si="7"/>
        <v>2029.1859999984781</v>
      </c>
      <c r="AS11" s="249">
        <f t="shared" si="7"/>
        <v>1868.2380000399999</v>
      </c>
      <c r="AT11" s="249">
        <f t="shared" ref="AT11:AU11" si="8">SUM(AT8:AT10)</f>
        <v>2405.1600000000003</v>
      </c>
      <c r="AU11" s="249">
        <f t="shared" si="8"/>
        <v>3056.7509999999997</v>
      </c>
    </row>
    <row r="12" spans="1:47" x14ac:dyDescent="0.15">
      <c r="B12" s="6" t="s">
        <v>341</v>
      </c>
      <c r="C12" s="247"/>
      <c r="D12" s="258"/>
      <c r="E12" s="247"/>
      <c r="F12" s="247"/>
      <c r="G12" s="247"/>
      <c r="H12" s="258">
        <v>108.685</v>
      </c>
      <c r="I12" s="247">
        <v>136.102</v>
      </c>
      <c r="J12" s="247">
        <v>132.767</v>
      </c>
      <c r="K12" s="247">
        <v>136.101</v>
      </c>
      <c r="L12" s="258">
        <v>150.18800000000002</v>
      </c>
      <c r="M12" s="247">
        <v>158.46899999999999</v>
      </c>
      <c r="N12" s="247">
        <v>154.26</v>
      </c>
      <c r="O12" s="247">
        <v>150.44799999999998</v>
      </c>
      <c r="P12" s="258">
        <v>170.49799999999993</v>
      </c>
      <c r="Q12" s="247">
        <v>185.78300000000002</v>
      </c>
      <c r="R12" s="247">
        <v>183.77099999999993</v>
      </c>
      <c r="S12" s="247">
        <v>187.15399999999994</v>
      </c>
      <c r="T12" s="258">
        <v>205.36199999999997</v>
      </c>
      <c r="U12" s="247">
        <v>240.15035900000001</v>
      </c>
      <c r="V12" s="247">
        <v>325.75800000000004</v>
      </c>
      <c r="W12" s="247">
        <v>509.68999999999994</v>
      </c>
      <c r="X12" s="258">
        <v>599.08000000000004</v>
      </c>
      <c r="Y12" s="247">
        <v>633.90499999999997</v>
      </c>
      <c r="Z12" s="247">
        <v>703.49900000000014</v>
      </c>
      <c r="AA12" s="247">
        <v>702.87700000000007</v>
      </c>
      <c r="AB12" s="258">
        <v>678.70200000000011</v>
      </c>
      <c r="AC12" s="247">
        <v>691.28899999999999</v>
      </c>
      <c r="AD12" s="247">
        <v>652.65</v>
      </c>
      <c r="AE12" s="247">
        <f>612.363+21.443502</f>
        <v>633.80650200000002</v>
      </c>
      <c r="AF12" s="258">
        <v>577.09799999999973</v>
      </c>
      <c r="AG12" s="247">
        <v>601.26700000000005</v>
      </c>
      <c r="AH12" s="247">
        <v>573.68000001999997</v>
      </c>
      <c r="AI12" s="247">
        <v>560.79699998000001</v>
      </c>
      <c r="AJ12" s="258">
        <v>578.7153376961877</v>
      </c>
      <c r="AK12" s="247">
        <v>675.45</v>
      </c>
      <c r="AL12" s="248"/>
      <c r="AM12" s="247">
        <f>386.269-AM24</f>
        <v>400.36099999999999</v>
      </c>
      <c r="AN12" s="247">
        <f>377.563-AN24</f>
        <v>396.46100000000001</v>
      </c>
      <c r="AO12" s="247">
        <f t="shared" si="0"/>
        <v>513.65499999999997</v>
      </c>
      <c r="AP12" s="247">
        <f t="shared" si="1"/>
        <v>613.36500000000001</v>
      </c>
      <c r="AQ12" s="247">
        <f>SUM(P12:S12)</f>
        <v>727.2059999999999</v>
      </c>
      <c r="AR12" s="247">
        <f t="shared" si="2"/>
        <v>1280.9603589999999</v>
      </c>
      <c r="AS12" s="247">
        <f t="shared" si="3"/>
        <v>2639.3610000000003</v>
      </c>
      <c r="AT12" s="247">
        <f>SUM(AB12:AE12)</f>
        <v>2656.447502</v>
      </c>
      <c r="AU12" s="247">
        <f>SUM(AF12:AI12)</f>
        <v>2312.8419999999996</v>
      </c>
    </row>
    <row r="13" spans="1:47" x14ac:dyDescent="0.15">
      <c r="B13" s="6" t="s">
        <v>342</v>
      </c>
      <c r="C13" s="247"/>
      <c r="D13" s="258"/>
      <c r="E13" s="247"/>
      <c r="F13" s="247"/>
      <c r="G13" s="247"/>
      <c r="H13" s="258">
        <f>66.783-H27</f>
        <v>1.0090000000000003</v>
      </c>
      <c r="I13" s="247">
        <v>1.8110000000000639</v>
      </c>
      <c r="J13" s="247">
        <v>-2.9600000000000364</v>
      </c>
      <c r="K13" s="247">
        <v>0.46100000000001273</v>
      </c>
      <c r="L13" s="258">
        <v>-7.5250000000000341</v>
      </c>
      <c r="M13" s="247">
        <v>-4.3529999999999518</v>
      </c>
      <c r="N13" s="247">
        <v>1.9509999999999934</v>
      </c>
      <c r="O13" s="247">
        <v>-4.2969999999999926</v>
      </c>
      <c r="P13" s="258">
        <v>-9.2999999999962751E-2</v>
      </c>
      <c r="Q13" s="247">
        <v>8.821999999999985</v>
      </c>
      <c r="R13" s="247">
        <v>6.0469999999999926</v>
      </c>
      <c r="S13" s="247">
        <v>3.1979999999999924</v>
      </c>
      <c r="T13" s="258">
        <v>-5.8879999999999999</v>
      </c>
      <c r="U13" s="247">
        <v>-1.1470000000000056</v>
      </c>
      <c r="V13" s="247">
        <v>2.9210000000000127</v>
      </c>
      <c r="W13" s="247">
        <v>-4.6689999999999925</v>
      </c>
      <c r="X13" s="258">
        <v>-4.0860000000000083</v>
      </c>
      <c r="Y13" s="247">
        <v>-1.2470000000000006</v>
      </c>
      <c r="Z13" s="247">
        <v>-1.5770000000000004</v>
      </c>
      <c r="AA13" s="247">
        <v>-0.73900000000000798</v>
      </c>
      <c r="AB13" s="258">
        <v>3.1340000000000066</v>
      </c>
      <c r="AC13" s="247">
        <v>-2.0169988041743823</v>
      </c>
      <c r="AD13" s="247">
        <v>0.214</v>
      </c>
      <c r="AE13" s="247">
        <v>-4.5229999999999908</v>
      </c>
      <c r="AF13" s="258">
        <v>1.7440000000000038</v>
      </c>
      <c r="AG13" s="247">
        <v>-4.8319999999999972</v>
      </c>
      <c r="AH13" s="247">
        <f>-20.328-AH27</f>
        <v>-2.0544898807042991</v>
      </c>
      <c r="AI13" s="247">
        <v>-3.0049999999999981</v>
      </c>
      <c r="AJ13" s="258">
        <v>-7.2788231264004821</v>
      </c>
      <c r="AK13" s="247">
        <v>1.55</v>
      </c>
      <c r="AL13" s="248"/>
      <c r="AM13" s="247">
        <v>-0.24100000000000002</v>
      </c>
      <c r="AN13" s="247">
        <v>3.7479999999999998</v>
      </c>
      <c r="AO13" s="247">
        <f t="shared" si="0"/>
        <v>0.32100000000004059</v>
      </c>
      <c r="AP13" s="247">
        <f t="shared" si="1"/>
        <v>-14.223999999999986</v>
      </c>
      <c r="AQ13" s="247">
        <f>SUM(P13:S13)</f>
        <v>17.974000000000007</v>
      </c>
      <c r="AR13" s="247">
        <f t="shared" si="2"/>
        <v>-8.7829999999999853</v>
      </c>
      <c r="AS13" s="247">
        <f t="shared" si="3"/>
        <v>-7.6490000000000169</v>
      </c>
      <c r="AT13" s="247">
        <f>SUM(AB13:AE13)</f>
        <v>-3.1919988041743665</v>
      </c>
      <c r="AU13" s="247">
        <f>SUM(AF13:AI13)</f>
        <v>-8.1474898807042919</v>
      </c>
    </row>
    <row r="14" spans="1:47" x14ac:dyDescent="0.15">
      <c r="B14" s="6" t="s">
        <v>4</v>
      </c>
      <c r="C14" s="247"/>
      <c r="D14" s="258"/>
      <c r="E14" s="247"/>
      <c r="F14" s="247"/>
      <c r="G14" s="247"/>
      <c r="H14" s="258">
        <v>15.243</v>
      </c>
      <c r="I14" s="247">
        <v>16.902000000000001</v>
      </c>
      <c r="J14" s="247">
        <v>14.37</v>
      </c>
      <c r="K14" s="247">
        <v>23.14</v>
      </c>
      <c r="L14" s="258">
        <v>11.337999999999999</v>
      </c>
      <c r="M14" s="247">
        <v>17.808</v>
      </c>
      <c r="N14" s="247">
        <v>11.926</v>
      </c>
      <c r="O14" s="247">
        <v>27.651000000002039</v>
      </c>
      <c r="P14" s="258">
        <v>18.820000000002548</v>
      </c>
      <c r="Q14" s="247">
        <v>53.198000000001656</v>
      </c>
      <c r="R14" s="247">
        <v>30.215000000004203</v>
      </c>
      <c r="S14" s="247">
        <v>61.497999999997859</v>
      </c>
      <c r="T14" s="258">
        <v>38.110999999996189</v>
      </c>
      <c r="U14" s="247">
        <v>23.282999999995287</v>
      </c>
      <c r="V14" s="247">
        <v>-1.7419999999676161</v>
      </c>
      <c r="W14" s="247">
        <v>21.071000000001472</v>
      </c>
      <c r="X14" s="258">
        <v>14.993999999999158</v>
      </c>
      <c r="Y14" s="247">
        <v>12.451000000045788</v>
      </c>
      <c r="Z14" s="247">
        <v>6.3129999999992235</v>
      </c>
      <c r="AA14" s="247">
        <v>16.611999999999579</v>
      </c>
      <c r="AB14" s="258">
        <v>2.2710000000011372</v>
      </c>
      <c r="AC14" s="247">
        <v>16.408000000000165</v>
      </c>
      <c r="AD14" s="247">
        <v>4.3860000000011317</v>
      </c>
      <c r="AE14" s="247">
        <f>91.749-79.271512</f>
        <v>12.477487999999994</v>
      </c>
      <c r="AF14" s="258">
        <v>1.1440000000017501</v>
      </c>
      <c r="AG14" s="247">
        <v>15.58800000000134</v>
      </c>
      <c r="AH14" s="247">
        <v>-1.2360000000018674</v>
      </c>
      <c r="AI14" s="247">
        <f>25.6509999999982-AI27</f>
        <v>11.650998399998199</v>
      </c>
      <c r="AJ14" s="258">
        <v>4.8229912125250474</v>
      </c>
      <c r="AK14" s="247">
        <v>27.088000000003547</v>
      </c>
      <c r="AL14" s="248"/>
      <c r="AM14" s="247">
        <v>54.902999999999999</v>
      </c>
      <c r="AN14" s="247">
        <v>58.915999999999997</v>
      </c>
      <c r="AO14" s="247">
        <f t="shared" si="0"/>
        <v>69.655000000000001</v>
      </c>
      <c r="AP14" s="247">
        <f t="shared" si="1"/>
        <v>68.723000000002045</v>
      </c>
      <c r="AQ14" s="247">
        <f>SUM(P14:S14)</f>
        <v>163.73100000000628</v>
      </c>
      <c r="AR14" s="247">
        <f t="shared" si="2"/>
        <v>80.723000000025337</v>
      </c>
      <c r="AS14" s="247">
        <f t="shared" si="3"/>
        <v>50.370000000043746</v>
      </c>
      <c r="AT14" s="247">
        <f>SUM(AB14:AE14)</f>
        <v>35.542488000002429</v>
      </c>
      <c r="AU14" s="247">
        <f>SUM(AF14:AI14)</f>
        <v>27.146998399999422</v>
      </c>
    </row>
    <row r="15" spans="1:47" s="241" customFormat="1" x14ac:dyDescent="0.15">
      <c r="B15" s="243" t="s">
        <v>172</v>
      </c>
      <c r="C15" s="249"/>
      <c r="D15" s="259">
        <f>+'Nordnet by quarter (old)'!BJ16-D24</f>
        <v>344.42099999999999</v>
      </c>
      <c r="E15" s="249">
        <f>+'Nordnet by quarter (old)'!BK16-E24</f>
        <v>321.363</v>
      </c>
      <c r="F15" s="249">
        <f>+'Nordnet by quarter (old)'!BL16-F24</f>
        <v>310.721</v>
      </c>
      <c r="G15" s="249">
        <f>+'Nordnet by quarter (old)'!BM16-G24</f>
        <v>352.80699999999996</v>
      </c>
      <c r="H15" s="259">
        <f t="shared" ref="H15:AK15" si="9">SUM(H11:H14)</f>
        <v>341.58891656770339</v>
      </c>
      <c r="I15" s="249">
        <f t="shared" si="9"/>
        <v>374.35608709090326</v>
      </c>
      <c r="J15" s="249">
        <f t="shared" si="9"/>
        <v>375.42061372393346</v>
      </c>
      <c r="K15" s="249">
        <f t="shared" si="9"/>
        <v>432.14136536805796</v>
      </c>
      <c r="L15" s="259">
        <f t="shared" si="9"/>
        <v>647.49039519645498</v>
      </c>
      <c r="M15" s="249">
        <f t="shared" si="9"/>
        <v>652.49078895476612</v>
      </c>
      <c r="N15" s="249">
        <f t="shared" si="9"/>
        <v>619.28512061096728</v>
      </c>
      <c r="O15" s="249">
        <f t="shared" si="9"/>
        <v>769.2746957085626</v>
      </c>
      <c r="P15" s="259">
        <f t="shared" si="9"/>
        <v>1116.0860000000023</v>
      </c>
      <c r="Q15" s="249">
        <f t="shared" si="9"/>
        <v>832.62600000000157</v>
      </c>
      <c r="R15" s="249">
        <f t="shared" si="9"/>
        <v>797.35000000000423</v>
      </c>
      <c r="S15" s="249">
        <f t="shared" si="9"/>
        <v>892.45099999999775</v>
      </c>
      <c r="T15" s="259">
        <f t="shared" si="9"/>
        <v>890.45499999999606</v>
      </c>
      <c r="U15" s="249">
        <f t="shared" si="9"/>
        <v>727.83035899847334</v>
      </c>
      <c r="V15" s="249">
        <f t="shared" si="9"/>
        <v>811.88500000003262</v>
      </c>
      <c r="W15" s="249">
        <f t="shared" si="9"/>
        <v>951.91600000000142</v>
      </c>
      <c r="X15" s="259">
        <f t="shared" si="9"/>
        <v>1134.204999999999</v>
      </c>
      <c r="Y15" s="249">
        <f t="shared" si="9"/>
        <v>1071.1460000000457</v>
      </c>
      <c r="Z15" s="249">
        <f t="shared" si="9"/>
        <v>1155.4700000399994</v>
      </c>
      <c r="AA15" s="249">
        <f t="shared" si="9"/>
        <v>1189.4989999999996</v>
      </c>
      <c r="AB15" s="259">
        <f t="shared" si="9"/>
        <v>1263.2710000000011</v>
      </c>
      <c r="AC15" s="249">
        <f t="shared" si="9"/>
        <v>1288.7930011958258</v>
      </c>
      <c r="AD15" s="249">
        <f t="shared" si="9"/>
        <v>1225.8730000000012</v>
      </c>
      <c r="AE15" s="249">
        <f t="shared" si="9"/>
        <v>1316.0209900000002</v>
      </c>
      <c r="AF15" s="259">
        <f t="shared" si="9"/>
        <v>1396.4920000000016</v>
      </c>
      <c r="AG15" s="249">
        <f t="shared" si="9"/>
        <v>1292.8130000000012</v>
      </c>
      <c r="AH15" s="249">
        <f t="shared" si="9"/>
        <v>1308.1815101392938</v>
      </c>
      <c r="AI15" s="249">
        <f t="shared" si="9"/>
        <v>1391.105998379998</v>
      </c>
      <c r="AJ15" s="259">
        <f t="shared" si="9"/>
        <v>1484.9325057823123</v>
      </c>
      <c r="AK15" s="249">
        <f t="shared" si="9"/>
        <v>1633.8940000000036</v>
      </c>
      <c r="AL15" s="248"/>
      <c r="AM15" s="249">
        <f t="shared" ref="AM15:AS15" si="10">SUM(AM11:AM14)</f>
        <v>1258.1279999999999</v>
      </c>
      <c r="AN15" s="249">
        <f t="shared" si="10"/>
        <v>1329.3120000000001</v>
      </c>
      <c r="AO15" s="249">
        <f t="shared" si="10"/>
        <v>1523.5069827505981</v>
      </c>
      <c r="AP15" s="249">
        <f t="shared" si="10"/>
        <v>2688.5410004707514</v>
      </c>
      <c r="AQ15" s="249">
        <f t="shared" si="10"/>
        <v>3638.5130000000063</v>
      </c>
      <c r="AR15" s="249">
        <f t="shared" si="10"/>
        <v>3382.0863589985033</v>
      </c>
      <c r="AS15" s="249">
        <f t="shared" si="10"/>
        <v>4550.3200000400429</v>
      </c>
      <c r="AT15" s="249">
        <f t="shared" ref="AT15:AU15" si="11">SUM(AT11:AT14)</f>
        <v>5093.957991195829</v>
      </c>
      <c r="AU15" s="249">
        <f t="shared" si="11"/>
        <v>5388.5925085192939</v>
      </c>
    </row>
    <row r="16" spans="1:47" x14ac:dyDescent="0.15">
      <c r="C16" s="213"/>
      <c r="D16" s="260"/>
      <c r="E16" s="213"/>
      <c r="F16" s="213"/>
      <c r="G16" s="213"/>
      <c r="H16" s="260"/>
      <c r="I16" s="213"/>
      <c r="J16" s="213"/>
      <c r="K16" s="213"/>
      <c r="L16" s="260"/>
      <c r="M16" s="213"/>
      <c r="N16" s="213"/>
      <c r="O16" s="213"/>
      <c r="P16" s="260"/>
      <c r="Q16" s="213"/>
      <c r="R16" s="213"/>
      <c r="S16" s="213"/>
      <c r="T16" s="260"/>
      <c r="U16" s="213"/>
      <c r="V16" s="213"/>
      <c r="W16" s="213"/>
      <c r="X16" s="260"/>
      <c r="Y16" s="213"/>
      <c r="Z16" s="213"/>
      <c r="AA16" s="213"/>
      <c r="AB16" s="260"/>
      <c r="AC16" s="213"/>
      <c r="AD16" s="213"/>
      <c r="AE16" s="213"/>
      <c r="AF16" s="260"/>
      <c r="AG16" s="213"/>
      <c r="AH16" s="213"/>
      <c r="AI16" s="213"/>
      <c r="AJ16" s="260"/>
      <c r="AK16" s="213"/>
      <c r="AL16" s="248"/>
      <c r="AM16" s="213"/>
      <c r="AN16" s="213"/>
      <c r="AO16" s="213"/>
      <c r="AP16" s="213"/>
      <c r="AQ16" s="213"/>
      <c r="AR16" s="213"/>
      <c r="AS16" s="213"/>
      <c r="AT16" s="213"/>
      <c r="AU16" s="213"/>
    </row>
    <row r="17" spans="1:47" x14ac:dyDescent="0.15">
      <c r="B17" s="8" t="s">
        <v>6</v>
      </c>
      <c r="C17" s="247"/>
      <c r="D17" s="258">
        <v>-246.40700000000001</v>
      </c>
      <c r="E17" s="247">
        <v>-233.30099999999999</v>
      </c>
      <c r="F17" s="247">
        <v>-221.49600000000001</v>
      </c>
      <c r="G17" s="247">
        <v>-241.21599999999998</v>
      </c>
      <c r="H17" s="258">
        <v>-215.346</v>
      </c>
      <c r="I17" s="247">
        <v>-222.21164189835</v>
      </c>
      <c r="J17" s="247">
        <v>-217.54174208999999</v>
      </c>
      <c r="K17" s="247">
        <v>-237.30420368</v>
      </c>
      <c r="L17" s="258">
        <v>-212.39678584999999</v>
      </c>
      <c r="M17" s="247">
        <v>-216.834</v>
      </c>
      <c r="N17" s="247">
        <v>-214.60300000000001</v>
      </c>
      <c r="O17" s="247">
        <v>-234.08994518089401</v>
      </c>
      <c r="P17" s="258">
        <v>-230.87699999999998</v>
      </c>
      <c r="Q17" s="247">
        <v>-231.43200000000002</v>
      </c>
      <c r="R17" s="247">
        <v>-224.93700000000001</v>
      </c>
      <c r="S17" s="247">
        <v>-238.66900000000001</v>
      </c>
      <c r="T17" s="258">
        <v>-247.14699999999999</v>
      </c>
      <c r="U17" s="247">
        <v>-242.16800000000003</v>
      </c>
      <c r="V17" s="247">
        <v>-246.74199999999999</v>
      </c>
      <c r="W17" s="247">
        <v>-250.898</v>
      </c>
      <c r="X17" s="258">
        <v>-265.43000017302597</v>
      </c>
      <c r="Y17" s="247">
        <v>-267.83699999999999</v>
      </c>
      <c r="Z17" s="247">
        <v>-271.19900000000001</v>
      </c>
      <c r="AA17" s="247">
        <v>-270.267</v>
      </c>
      <c r="AB17" s="258">
        <v>-293.60999999999996</v>
      </c>
      <c r="AC17" s="247">
        <v>-283.66399999999999</v>
      </c>
      <c r="AD17" s="247">
        <v>-285.01900000000001</v>
      </c>
      <c r="AE17" s="247">
        <f>-398.161+108.66674</f>
        <v>-289.49426</v>
      </c>
      <c r="AF17" s="258">
        <v>-328.52</v>
      </c>
      <c r="AG17" s="247">
        <v>-326.63800000000003</v>
      </c>
      <c r="AH17" s="247">
        <v>-319.267</v>
      </c>
      <c r="AI17" s="247">
        <v>-325.01099999999997</v>
      </c>
      <c r="AJ17" s="258">
        <v>-364.13200000000001</v>
      </c>
      <c r="AK17" s="247">
        <v>-352.39300000000003</v>
      </c>
      <c r="AL17" s="248"/>
      <c r="AM17" s="247">
        <f>-864.578+45-9.11500000000012</f>
        <v>-828.6930000000001</v>
      </c>
      <c r="AN17" s="247">
        <f>-949.639+15.9-8.68100000000004</f>
        <v>-942.42000000000007</v>
      </c>
      <c r="AO17" s="247">
        <f>SUM(H17:K17)</f>
        <v>-892.40358766834993</v>
      </c>
      <c r="AP17" s="247">
        <f>SUM(L17:O17)</f>
        <v>-877.92373103089392</v>
      </c>
      <c r="AQ17" s="247">
        <f>SUM(P17:S17)</f>
        <v>-925.91499999999996</v>
      </c>
      <c r="AR17" s="247">
        <f>SUM(T17:W17)</f>
        <v>-986.95500000000004</v>
      </c>
      <c r="AS17" s="247">
        <f>SUM(X17:AA17)</f>
        <v>-1074.7330001730261</v>
      </c>
      <c r="AT17" s="247">
        <f>SUM(AB17:AE17)</f>
        <v>-1151.7872599999998</v>
      </c>
      <c r="AU17" s="247">
        <f>SUM(AF17:AI17)</f>
        <v>-1299.4359999999999</v>
      </c>
    </row>
    <row r="18" spans="1:47" x14ac:dyDescent="0.15">
      <c r="B18" s="8" t="s">
        <v>7</v>
      </c>
      <c r="C18" s="247"/>
      <c r="D18" s="258">
        <f>+'Nordnet by quarter (old)'!BJ19</f>
        <v>-24.227</v>
      </c>
      <c r="E18" s="247">
        <f>+'Nordnet by quarter (old)'!BK19</f>
        <v>-28.969000000000001</v>
      </c>
      <c r="F18" s="247">
        <f>+'Nordnet by quarter (old)'!BL19</f>
        <v>-24.527999999999999</v>
      </c>
      <c r="G18" s="247">
        <f>+'Nordnet by quarter (old)'!BM19</f>
        <v>-28.138999999999999</v>
      </c>
      <c r="H18" s="258">
        <v>-37.960999999999999</v>
      </c>
      <c r="I18" s="247">
        <v>-40.481999999999999</v>
      </c>
      <c r="J18" s="247">
        <v>-47.508000000000003</v>
      </c>
      <c r="K18" s="247">
        <f>-48.383+0.535</f>
        <v>-47.848000000000006</v>
      </c>
      <c r="L18" s="258">
        <v>-38.509</v>
      </c>
      <c r="M18" s="247">
        <v>-39.274000000000001</v>
      </c>
      <c r="N18" s="247">
        <v>-39.241999999999997</v>
      </c>
      <c r="O18" s="247">
        <v>-41.094000000000001</v>
      </c>
      <c r="P18" s="258">
        <v>-39.588000000000001</v>
      </c>
      <c r="Q18" s="247">
        <v>-39.646999999999998</v>
      </c>
      <c r="R18" s="247">
        <v>-41.786000000000001</v>
      </c>
      <c r="S18" s="247">
        <v>-41.679000000000002</v>
      </c>
      <c r="T18" s="258">
        <v>-42.968000000000004</v>
      </c>
      <c r="U18" s="247">
        <v>-41.658000000000001</v>
      </c>
      <c r="V18" s="247">
        <v>-43.756</v>
      </c>
      <c r="W18" s="247">
        <v>-44.054000000000002</v>
      </c>
      <c r="X18" s="258">
        <v>-44.19</v>
      </c>
      <c r="Y18" s="247">
        <v>-43.712000000000003</v>
      </c>
      <c r="Z18" s="247">
        <v>-44.942999999999998</v>
      </c>
      <c r="AA18" s="247">
        <v>-46.667999999999999</v>
      </c>
      <c r="AB18" s="258">
        <v>-48.780999999999999</v>
      </c>
      <c r="AC18" s="247">
        <v>-51.472999999999999</v>
      </c>
      <c r="AD18" s="247">
        <v>-51.704999999999998</v>
      </c>
      <c r="AE18" s="247">
        <f>-132.471+82.387035</f>
        <v>-50.083965000000006</v>
      </c>
      <c r="AF18" s="258">
        <v>-53.164999999999999</v>
      </c>
      <c r="AG18" s="247">
        <v>-55.14</v>
      </c>
      <c r="AH18" s="247">
        <v>-58.37</v>
      </c>
      <c r="AI18" s="247">
        <v>-59.811999999999998</v>
      </c>
      <c r="AJ18" s="258">
        <v>-60.673000000000002</v>
      </c>
      <c r="AK18" s="247">
        <v>-63.02</v>
      </c>
      <c r="AL18" s="248"/>
      <c r="AM18" s="247">
        <v>-90.457999999999998</v>
      </c>
      <c r="AN18" s="247">
        <v>-105.86299999999999</v>
      </c>
      <c r="AO18" s="247">
        <f>SUM(H18:K18)</f>
        <v>-173.79900000000001</v>
      </c>
      <c r="AP18" s="247">
        <f>SUM(L18:O18)</f>
        <v>-158.119</v>
      </c>
      <c r="AQ18" s="247">
        <f>SUM(P18:S18)</f>
        <v>-162.69999999999999</v>
      </c>
      <c r="AR18" s="247">
        <f>SUM(T18:W18)</f>
        <v>-172.43600000000001</v>
      </c>
      <c r="AS18" s="247">
        <f>SUM(X18:AA18)</f>
        <v>-179.51300000000001</v>
      </c>
      <c r="AT18" s="247">
        <f>SUM(AB18:AE18)</f>
        <v>-202.04296500000001</v>
      </c>
      <c r="AU18" s="247">
        <f>SUM(AF18:AI18)</f>
        <v>-226.48700000000002</v>
      </c>
    </row>
    <row r="19" spans="1:47" x14ac:dyDescent="0.15">
      <c r="B19" s="13" t="s">
        <v>309</v>
      </c>
      <c r="C19" s="247"/>
      <c r="D19" s="258"/>
      <c r="E19" s="247"/>
      <c r="F19" s="247"/>
      <c r="G19" s="247"/>
      <c r="H19" s="258">
        <v>-6.5404224300000005</v>
      </c>
      <c r="I19" s="247">
        <v>-9.8474224299999999</v>
      </c>
      <c r="J19" s="247">
        <v>-17.184422430000001</v>
      </c>
      <c r="K19" s="247">
        <v>-9.4414224299999923</v>
      </c>
      <c r="L19" s="258">
        <v>-9.0719999999999992</v>
      </c>
      <c r="M19" s="247">
        <v>-8.7010000000000005</v>
      </c>
      <c r="N19" s="247">
        <v>-8.6669999999999998</v>
      </c>
      <c r="O19" s="247">
        <v>-8.5449999999999999</v>
      </c>
      <c r="P19" s="258">
        <v>-6.976</v>
      </c>
      <c r="Q19" s="247">
        <v>-7.0780000000000003</v>
      </c>
      <c r="R19" s="247">
        <v>-6.9740000000000002</v>
      </c>
      <c r="S19" s="247">
        <v>-7.117</v>
      </c>
      <c r="T19" s="258">
        <v>-7.4080000000000004</v>
      </c>
      <c r="U19" s="247">
        <v>-6.1520000000000001</v>
      </c>
      <c r="V19" s="247">
        <v>-5.63</v>
      </c>
      <c r="W19" s="247">
        <v>-5.6109999999999998</v>
      </c>
      <c r="X19" s="258">
        <v>-5.4240000000000004</v>
      </c>
      <c r="Y19" s="247">
        <v>-5.2359999999999998</v>
      </c>
      <c r="Z19" s="247">
        <v>-5.4870000000000001</v>
      </c>
      <c r="AA19" s="247">
        <v>-5.2370000000000001</v>
      </c>
      <c r="AB19" s="258">
        <v>-5.2510000000000003</v>
      </c>
      <c r="AC19" s="247">
        <v>-5.2880000000000003</v>
      </c>
      <c r="AD19" s="247">
        <v>-5.17</v>
      </c>
      <c r="AE19" s="247">
        <v>-4.4359646599999962</v>
      </c>
      <c r="AF19" s="258">
        <v>-4.4169999999999998</v>
      </c>
      <c r="AG19" s="247">
        <v>-4.2990000000000004</v>
      </c>
      <c r="AH19" s="247">
        <v>-4.3179999999999996</v>
      </c>
      <c r="AI19" s="247">
        <v>-4.2670000000000003</v>
      </c>
      <c r="AJ19" s="258">
        <v>-4.3040000000000003</v>
      </c>
      <c r="AK19" s="247">
        <v>-4.5519999999999996</v>
      </c>
      <c r="AL19" s="248"/>
      <c r="AM19" s="247">
        <v>-33.01</v>
      </c>
      <c r="AN19" s="247">
        <v>-29.061</v>
      </c>
      <c r="AO19" s="247">
        <f>SUM(H19:K19)</f>
        <v>-43.013689719999988</v>
      </c>
      <c r="AP19" s="247">
        <f>SUM(L19:O19)</f>
        <v>-34.984999999999999</v>
      </c>
      <c r="AQ19" s="247">
        <f>SUM(P19:S19)</f>
        <v>-28.145</v>
      </c>
      <c r="AR19" s="247">
        <f>SUM(T19:W19)</f>
        <v>-24.801000000000002</v>
      </c>
      <c r="AS19" s="247">
        <f>SUM(X19:AA19)</f>
        <v>-21.384</v>
      </c>
      <c r="AT19" s="247">
        <f>SUM(AB19:AE19)</f>
        <v>-20.144964659999999</v>
      </c>
      <c r="AU19" s="247">
        <f>SUM(AF19:AI19)</f>
        <v>-17.301000000000002</v>
      </c>
    </row>
    <row r="20" spans="1:47" x14ac:dyDescent="0.15">
      <c r="B20" s="8" t="s">
        <v>383</v>
      </c>
      <c r="C20" s="247"/>
      <c r="D20" s="258">
        <v>-18.324000000000002</v>
      </c>
      <c r="E20" s="247">
        <v>-15.288000000000002</v>
      </c>
      <c r="F20" s="247">
        <v>-18.867000000000004</v>
      </c>
      <c r="G20" s="247">
        <v>-16.577000000000002</v>
      </c>
      <c r="H20" s="258">
        <v>-7.351</v>
      </c>
      <c r="I20" s="247">
        <v>-7.0013581016500037</v>
      </c>
      <c r="J20" s="247">
        <v>-6.552257909999998</v>
      </c>
      <c r="K20" s="247">
        <v>-10.032796320000005</v>
      </c>
      <c r="L20" s="258">
        <v>-8.0132141499999996</v>
      </c>
      <c r="M20" s="247">
        <v>-4.0470000000000006</v>
      </c>
      <c r="N20" s="247">
        <v>-4.3079999999999998</v>
      </c>
      <c r="O20" s="247">
        <v>-11.698054819105998</v>
      </c>
      <c r="P20" s="258">
        <v>-9.452</v>
      </c>
      <c r="Q20" s="247">
        <v>-12.377999999999998</v>
      </c>
      <c r="R20" s="247">
        <v>-11.433999999999997</v>
      </c>
      <c r="S20" s="247">
        <v>-19.056999999999995</v>
      </c>
      <c r="T20" s="258">
        <v>-6.9889999999999981</v>
      </c>
      <c r="U20" s="247">
        <v>-11.880000000000004</v>
      </c>
      <c r="V20" s="247">
        <v>-13.031000000000001</v>
      </c>
      <c r="W20" s="247">
        <v>-18.964000000000002</v>
      </c>
      <c r="X20" s="258">
        <v>-10.559999826974002</v>
      </c>
      <c r="Y20" s="247">
        <v>-9.1809999999999992</v>
      </c>
      <c r="Z20" s="247">
        <v>-8.0719999999999974</v>
      </c>
      <c r="AA20" s="247">
        <v>-17.664000000000001</v>
      </c>
      <c r="AB20" s="258">
        <v>-10.826000000000001</v>
      </c>
      <c r="AC20" s="247">
        <v>-17.591999999999999</v>
      </c>
      <c r="AD20" s="247">
        <v>-20.95</v>
      </c>
      <c r="AE20" s="247">
        <v>-51.856000000000002</v>
      </c>
      <c r="AF20" s="258">
        <v>-24.925000000000001</v>
      </c>
      <c r="AG20" s="247">
        <v>-15.263</v>
      </c>
      <c r="AH20" s="247">
        <v>-25.483000000000001</v>
      </c>
      <c r="AI20" s="247">
        <v>-38.244</v>
      </c>
      <c r="AJ20" s="258">
        <v>-13.723000000000001</v>
      </c>
      <c r="AK20" s="247">
        <v>-24.57</v>
      </c>
      <c r="AL20" s="248"/>
      <c r="AM20" s="247">
        <v>-44.376999999999903</v>
      </c>
      <c r="AN20" s="247">
        <f>SUM(D20:G20)</f>
        <v>-69.056000000000012</v>
      </c>
      <c r="AO20" s="247">
        <f>SUM(H20:K20)</f>
        <v>-30.937412331650009</v>
      </c>
      <c r="AP20" s="247">
        <f>SUM(L20:O20)</f>
        <v>-28.066268969105998</v>
      </c>
      <c r="AQ20" s="247">
        <f>SUM(P20:S20)</f>
        <v>-52.320999999999991</v>
      </c>
      <c r="AR20" s="247">
        <f>SUM(T20:W20)</f>
        <v>-50.864000000000004</v>
      </c>
      <c r="AS20" s="247">
        <f>SUM(X20:AA20)</f>
        <v>-45.476999826974001</v>
      </c>
      <c r="AT20" s="247">
        <f>SUM(AB20:AE20)</f>
        <v>-101.22399999999999</v>
      </c>
      <c r="AU20" s="247">
        <f>SUM(AF20:AI20)</f>
        <v>-103.91500000000001</v>
      </c>
    </row>
    <row r="21" spans="1:47" x14ac:dyDescent="0.15">
      <c r="B21" s="2" t="s">
        <v>290</v>
      </c>
      <c r="C21" s="249"/>
      <c r="D21" s="259">
        <f t="shared" ref="D21:AK21" si="12">+D20+D18+D17</f>
        <v>-288.95800000000003</v>
      </c>
      <c r="E21" s="249">
        <f t="shared" si="12"/>
        <v>-277.55799999999999</v>
      </c>
      <c r="F21" s="249">
        <f t="shared" si="12"/>
        <v>-264.89100000000002</v>
      </c>
      <c r="G21" s="249">
        <f t="shared" si="12"/>
        <v>-285.93199999999996</v>
      </c>
      <c r="H21" s="259">
        <f t="shared" si="12"/>
        <v>-260.65800000000002</v>
      </c>
      <c r="I21" s="249">
        <f t="shared" si="12"/>
        <v>-269.69499999999999</v>
      </c>
      <c r="J21" s="249">
        <f t="shared" si="12"/>
        <v>-271.60199999999998</v>
      </c>
      <c r="K21" s="249">
        <f t="shared" si="12"/>
        <v>-295.185</v>
      </c>
      <c r="L21" s="259">
        <f t="shared" si="12"/>
        <v>-258.91899999999998</v>
      </c>
      <c r="M21" s="249">
        <f t="shared" si="12"/>
        <v>-260.15499999999997</v>
      </c>
      <c r="N21" s="249">
        <f t="shared" si="12"/>
        <v>-258.15300000000002</v>
      </c>
      <c r="O21" s="249">
        <f t="shared" si="12"/>
        <v>-286.88200000000001</v>
      </c>
      <c r="P21" s="259">
        <f t="shared" si="12"/>
        <v>-279.91699999999997</v>
      </c>
      <c r="Q21" s="249">
        <f t="shared" si="12"/>
        <v>-283.45699999999999</v>
      </c>
      <c r="R21" s="249">
        <f t="shared" si="12"/>
        <v>-278.15700000000004</v>
      </c>
      <c r="S21" s="249">
        <f t="shared" si="12"/>
        <v>-299.40500000000003</v>
      </c>
      <c r="T21" s="259">
        <f t="shared" si="12"/>
        <v>-297.10399999999998</v>
      </c>
      <c r="U21" s="249">
        <f t="shared" si="12"/>
        <v>-295.70600000000002</v>
      </c>
      <c r="V21" s="249">
        <f t="shared" si="12"/>
        <v>-303.529</v>
      </c>
      <c r="W21" s="249">
        <f t="shared" si="12"/>
        <v>-313.916</v>
      </c>
      <c r="X21" s="259">
        <f t="shared" si="12"/>
        <v>-320.17999999999995</v>
      </c>
      <c r="Y21" s="249">
        <f t="shared" si="12"/>
        <v>-320.73</v>
      </c>
      <c r="Z21" s="249">
        <f t="shared" si="12"/>
        <v>-324.214</v>
      </c>
      <c r="AA21" s="249">
        <f t="shared" si="12"/>
        <v>-334.59899999999999</v>
      </c>
      <c r="AB21" s="259">
        <f t="shared" si="12"/>
        <v>-353.21699999999998</v>
      </c>
      <c r="AC21" s="249">
        <f t="shared" si="12"/>
        <v>-352.72899999999998</v>
      </c>
      <c r="AD21" s="249">
        <f t="shared" si="12"/>
        <v>-357.67399999999998</v>
      </c>
      <c r="AE21" s="249">
        <f t="shared" si="12"/>
        <v>-391.43422499999997</v>
      </c>
      <c r="AF21" s="259">
        <f t="shared" si="12"/>
        <v>-406.61</v>
      </c>
      <c r="AG21" s="249">
        <f t="shared" si="12"/>
        <v>-397.04100000000005</v>
      </c>
      <c r="AH21" s="249">
        <f t="shared" si="12"/>
        <v>-403.12</v>
      </c>
      <c r="AI21" s="249">
        <f t="shared" si="12"/>
        <v>-423.06699999999995</v>
      </c>
      <c r="AJ21" s="259">
        <f t="shared" si="12"/>
        <v>-438.52800000000002</v>
      </c>
      <c r="AK21" s="249">
        <f t="shared" si="12"/>
        <v>-439.98300000000006</v>
      </c>
      <c r="AL21" s="248"/>
      <c r="AM21" s="249">
        <f t="shared" ref="AM21:AS21" si="13">+AM20+AM18+AM17</f>
        <v>-963.52800000000002</v>
      </c>
      <c r="AN21" s="249">
        <f t="shared" si="13"/>
        <v>-1117.3389999999999</v>
      </c>
      <c r="AO21" s="249">
        <f t="shared" si="13"/>
        <v>-1097.1399999999999</v>
      </c>
      <c r="AP21" s="249">
        <f t="shared" si="13"/>
        <v>-1064.1089999999999</v>
      </c>
      <c r="AQ21" s="249">
        <f t="shared" si="13"/>
        <v>-1140.9359999999999</v>
      </c>
      <c r="AR21" s="249">
        <f t="shared" si="13"/>
        <v>-1210.2550000000001</v>
      </c>
      <c r="AS21" s="249">
        <f t="shared" si="13"/>
        <v>-1299.7230000000002</v>
      </c>
      <c r="AT21" s="249">
        <f t="shared" ref="AT21:AU21" si="14">+AT20+AT18+AT17</f>
        <v>-1455.0542249999999</v>
      </c>
      <c r="AU21" s="249">
        <f t="shared" si="14"/>
        <v>-1629.838</v>
      </c>
    </row>
    <row r="22" spans="1:47" x14ac:dyDescent="0.15">
      <c r="C22" s="213"/>
      <c r="D22" s="260"/>
      <c r="E22" s="213"/>
      <c r="F22" s="213"/>
      <c r="G22" s="213"/>
      <c r="H22" s="260"/>
      <c r="I22" s="213"/>
      <c r="J22" s="213"/>
      <c r="K22" s="213"/>
      <c r="L22" s="260"/>
      <c r="M22" s="213"/>
      <c r="N22" s="213"/>
      <c r="O22" s="213"/>
      <c r="P22" s="260"/>
      <c r="Q22" s="213"/>
      <c r="R22" s="213"/>
      <c r="S22" s="213"/>
      <c r="T22" s="260"/>
      <c r="U22" s="213"/>
      <c r="V22" s="213"/>
      <c r="W22" s="213"/>
      <c r="X22" s="260"/>
      <c r="Y22" s="213"/>
      <c r="Z22" s="213"/>
      <c r="AA22" s="213"/>
      <c r="AB22" s="260"/>
      <c r="AC22" s="213"/>
      <c r="AD22" s="213"/>
      <c r="AE22" s="213"/>
      <c r="AF22" s="260"/>
      <c r="AG22" s="213"/>
      <c r="AH22" s="213"/>
      <c r="AI22" s="213"/>
      <c r="AJ22" s="260"/>
      <c r="AK22" s="213"/>
      <c r="AL22" s="248"/>
      <c r="AM22" s="213"/>
      <c r="AN22" s="213"/>
      <c r="AO22" s="213"/>
      <c r="AP22" s="213"/>
      <c r="AQ22" s="213"/>
      <c r="AR22" s="213"/>
      <c r="AS22" s="213"/>
      <c r="AT22" s="213"/>
      <c r="AU22" s="213"/>
    </row>
    <row r="23" spans="1:47" x14ac:dyDescent="0.15">
      <c r="B23" s="8" t="s">
        <v>10</v>
      </c>
      <c r="C23" s="247"/>
      <c r="D23" s="258">
        <f>+'Nordnet by quarter (old)'!BJ21</f>
        <v>-9.9499999999999993</v>
      </c>
      <c r="E23" s="247">
        <f>+'Nordnet by quarter (old)'!BK21</f>
        <v>-9.7219999999999995</v>
      </c>
      <c r="F23" s="247">
        <f>+'Nordnet by quarter (old)'!BL21</f>
        <v>-11.619</v>
      </c>
      <c r="G23" s="247">
        <f>+'Nordnet by quarter (old)'!BM21</f>
        <v>-4.7110000000000003</v>
      </c>
      <c r="H23" s="258">
        <f>+'Nordnet by quarter (old)'!BN21</f>
        <v>-6.7480000000000002</v>
      </c>
      <c r="I23" s="247">
        <f>+'Nordnet by quarter (old)'!BO21</f>
        <v>-11.706</v>
      </c>
      <c r="J23" s="247">
        <f>+'Nordnet by quarter (old)'!BP21</f>
        <v>-5.4809999999999999</v>
      </c>
      <c r="K23" s="247">
        <f>+'Nordnet by quarter (old)'!BQ21</f>
        <v>-9.7100000000000009</v>
      </c>
      <c r="L23" s="258">
        <v>-18.222999999999999</v>
      </c>
      <c r="M23" s="247">
        <v>-10.004</v>
      </c>
      <c r="N23" s="247">
        <v>-3.3770000000000002</v>
      </c>
      <c r="O23" s="247">
        <v>-7.0990000000000002</v>
      </c>
      <c r="P23" s="258">
        <v>-4.1070000000000002</v>
      </c>
      <c r="Q23" s="247">
        <v>-10.936</v>
      </c>
      <c r="R23" s="247">
        <v>-8.8469999999999995</v>
      </c>
      <c r="S23" s="247">
        <v>-12.452</v>
      </c>
      <c r="T23" s="258">
        <v>-9.5830000000000002</v>
      </c>
      <c r="U23" s="247">
        <v>-8.7590000000000003</v>
      </c>
      <c r="V23" s="247">
        <v>-13.968999999999999</v>
      </c>
      <c r="W23" s="247">
        <v>-11.108000000000001</v>
      </c>
      <c r="X23" s="258">
        <v>-16.727</v>
      </c>
      <c r="Y23" s="247">
        <v>-18.207000000000001</v>
      </c>
      <c r="Z23" s="247">
        <v>-21.917000000000002</v>
      </c>
      <c r="AA23" s="247">
        <v>-22.768000000000001</v>
      </c>
      <c r="AB23" s="258">
        <v>-22.466000000000001</v>
      </c>
      <c r="AC23" s="247">
        <v>-28.204000000000001</v>
      </c>
      <c r="AD23" s="247">
        <v>-13.054</v>
      </c>
      <c r="AE23" s="247">
        <f>53.726-AE29</f>
        <v>-1.9268101700000031</v>
      </c>
      <c r="AF23" s="258">
        <v>-0.80700000000000005</v>
      </c>
      <c r="AG23" s="247">
        <v>-0.248</v>
      </c>
      <c r="AH23" s="247">
        <v>1.518</v>
      </c>
      <c r="AI23" s="247">
        <v>5.0000000000000001E-3</v>
      </c>
      <c r="AJ23" s="258">
        <v>-1.681</v>
      </c>
      <c r="AK23" s="247">
        <v>6.2E-2</v>
      </c>
      <c r="AL23" s="248"/>
      <c r="AM23" s="247">
        <v>-35.301000000000002</v>
      </c>
      <c r="AN23" s="247">
        <v>-36.001999999999995</v>
      </c>
      <c r="AO23" s="247">
        <f>SUM(H23:K23)</f>
        <v>-33.645000000000003</v>
      </c>
      <c r="AP23" s="247">
        <f>SUM(L23:O23)</f>
        <v>-38.702999999999996</v>
      </c>
      <c r="AQ23" s="247">
        <f>SUM(P23:S23)</f>
        <v>-36.341999999999999</v>
      </c>
      <c r="AR23" s="247">
        <f>SUM(T23:W23)</f>
        <v>-43.418999999999997</v>
      </c>
      <c r="AS23" s="247">
        <f>SUM(X23:AA23)</f>
        <v>-79.619</v>
      </c>
      <c r="AT23" s="247">
        <f>SUM(AB23:AE23)</f>
        <v>-65.65081017</v>
      </c>
      <c r="AU23" s="247">
        <f>SUM(AF23:AI23)</f>
        <v>0.46799999999999986</v>
      </c>
    </row>
    <row r="24" spans="1:47" x14ac:dyDescent="0.15">
      <c r="B24" s="8" t="s">
        <v>349</v>
      </c>
      <c r="C24" s="247"/>
      <c r="D24" s="258">
        <v>-3.6</v>
      </c>
      <c r="E24" s="247">
        <v>-4.7240000000000002</v>
      </c>
      <c r="F24" s="247">
        <v>-5.2869999999999999</v>
      </c>
      <c r="G24" s="247">
        <v>-5.2869999999999999</v>
      </c>
      <c r="H24" s="258">
        <v>-4.8</v>
      </c>
      <c r="I24" s="247">
        <v>-3.161</v>
      </c>
      <c r="J24" s="247">
        <v>-3.9809999999999999</v>
      </c>
      <c r="K24" s="247">
        <v>-3.98</v>
      </c>
      <c r="L24" s="258">
        <v>-3.2269999999999999</v>
      </c>
      <c r="M24" s="247">
        <v>-2.194</v>
      </c>
      <c r="N24" s="247">
        <v>-2.194</v>
      </c>
      <c r="O24" s="247">
        <v>-2.194</v>
      </c>
      <c r="P24" s="258">
        <v>-2.5</v>
      </c>
      <c r="Q24" s="247">
        <v>-2.5339999999999998</v>
      </c>
      <c r="R24" s="247">
        <v>-2.516</v>
      </c>
      <c r="S24" s="247">
        <v>-2.5169999999999999</v>
      </c>
      <c r="T24" s="258">
        <v>-3.6080000000000001</v>
      </c>
      <c r="U24" s="247">
        <v>-3.2657600000000002</v>
      </c>
      <c r="V24" s="247">
        <v>-3.0950000000000006</v>
      </c>
      <c r="W24" s="247">
        <v>-3.0950000000000006</v>
      </c>
      <c r="X24" s="258">
        <v>-3.096000000000001</v>
      </c>
      <c r="Y24" s="247">
        <v>-2.8029999999999999</v>
      </c>
      <c r="Z24" s="247">
        <v>-2.6560000000000001</v>
      </c>
      <c r="AA24" s="247">
        <v>-2.0699999999999998</v>
      </c>
      <c r="AB24" s="258">
        <v>-3.0960000000000001</v>
      </c>
      <c r="AC24" s="247">
        <v>-3.5579999999999998</v>
      </c>
      <c r="AD24" s="247">
        <v>-3.3260000000000001</v>
      </c>
      <c r="AE24" s="247">
        <v>-3.3280000000000003</v>
      </c>
      <c r="AF24" s="258">
        <v>-3.6</v>
      </c>
      <c r="AG24" s="247">
        <v>-2.7690000000000001</v>
      </c>
      <c r="AH24" s="247">
        <v>-2.3540000000000001</v>
      </c>
      <c r="AI24" s="247">
        <v>-2.3530000000000002</v>
      </c>
      <c r="AJ24" s="258">
        <v>-2.355</v>
      </c>
      <c r="AK24" s="247">
        <v>-3.552</v>
      </c>
      <c r="AL24" s="248"/>
      <c r="AM24" s="247">
        <v>-14.092000000000001</v>
      </c>
      <c r="AN24" s="247">
        <v>-18.898</v>
      </c>
      <c r="AO24" s="247">
        <f>SUM(H24:K24)</f>
        <v>-15.922000000000001</v>
      </c>
      <c r="AP24" s="247">
        <f>SUM(L24:O24)</f>
        <v>-9.8089999999999993</v>
      </c>
      <c r="AQ24" s="247">
        <f>SUM(P24:S24)</f>
        <v>-10.067</v>
      </c>
      <c r="AR24" s="247">
        <f>SUM(T24:W24)</f>
        <v>-13.063760000000002</v>
      </c>
      <c r="AS24" s="247">
        <f>SUM(X24:AA24)</f>
        <v>-10.625000000000002</v>
      </c>
      <c r="AT24" s="247">
        <f>SUM(AB24:AE24)</f>
        <v>-13.308</v>
      </c>
      <c r="AU24" s="247">
        <f>SUM(AF24:AI24)</f>
        <v>-11.075999999999999</v>
      </c>
    </row>
    <row r="25" spans="1:47" x14ac:dyDescent="0.15">
      <c r="B25" s="2" t="s">
        <v>310</v>
      </c>
      <c r="C25" s="249"/>
      <c r="D25" s="259">
        <f t="shared" ref="D25:AK25" si="15">+SUM(D23:D24,D21,D15)</f>
        <v>41.912999999999954</v>
      </c>
      <c r="E25" s="249">
        <f t="shared" si="15"/>
        <v>29.35899999999998</v>
      </c>
      <c r="F25" s="249">
        <f t="shared" si="15"/>
        <v>28.923999999999978</v>
      </c>
      <c r="G25" s="249">
        <f t="shared" si="15"/>
        <v>56.87700000000001</v>
      </c>
      <c r="H25" s="259">
        <f t="shared" si="15"/>
        <v>69.382916567703376</v>
      </c>
      <c r="I25" s="249">
        <f t="shared" si="15"/>
        <v>89.794087090903247</v>
      </c>
      <c r="J25" s="249">
        <f t="shared" si="15"/>
        <v>94.356613723933492</v>
      </c>
      <c r="K25" s="249">
        <f t="shared" si="15"/>
        <v>123.26636536805796</v>
      </c>
      <c r="L25" s="259">
        <f t="shared" si="15"/>
        <v>367.12139519645501</v>
      </c>
      <c r="M25" s="249">
        <f t="shared" si="15"/>
        <v>380.13778895476617</v>
      </c>
      <c r="N25" s="249">
        <f t="shared" si="15"/>
        <v>355.56112061096724</v>
      </c>
      <c r="O25" s="249">
        <f t="shared" si="15"/>
        <v>473.09969570856259</v>
      </c>
      <c r="P25" s="259">
        <f t="shared" si="15"/>
        <v>829.56200000000229</v>
      </c>
      <c r="Q25" s="249">
        <f t="shared" si="15"/>
        <v>535.69900000000155</v>
      </c>
      <c r="R25" s="249">
        <f t="shared" si="15"/>
        <v>507.83000000000419</v>
      </c>
      <c r="S25" s="249">
        <f t="shared" si="15"/>
        <v>578.07699999999772</v>
      </c>
      <c r="T25" s="259">
        <f t="shared" si="15"/>
        <v>580.1599999999961</v>
      </c>
      <c r="U25" s="249">
        <f t="shared" si="15"/>
        <v>420.09959899847331</v>
      </c>
      <c r="V25" s="249">
        <f t="shared" si="15"/>
        <v>491.2920000000326</v>
      </c>
      <c r="W25" s="249">
        <f t="shared" si="15"/>
        <v>623.79700000000139</v>
      </c>
      <c r="X25" s="259">
        <f t="shared" si="15"/>
        <v>794.20199999999909</v>
      </c>
      <c r="Y25" s="249">
        <f t="shared" si="15"/>
        <v>729.40600000004565</v>
      </c>
      <c r="Z25" s="249">
        <f t="shared" si="15"/>
        <v>806.68300003999934</v>
      </c>
      <c r="AA25" s="249">
        <f t="shared" si="15"/>
        <v>830.06199999999956</v>
      </c>
      <c r="AB25" s="259">
        <f t="shared" si="15"/>
        <v>884.4920000000011</v>
      </c>
      <c r="AC25" s="249">
        <f t="shared" si="15"/>
        <v>904.30200119582582</v>
      </c>
      <c r="AD25" s="249">
        <f t="shared" si="15"/>
        <v>851.81900000000121</v>
      </c>
      <c r="AE25" s="249">
        <f t="shared" si="15"/>
        <v>919.33195483000031</v>
      </c>
      <c r="AF25" s="259">
        <f t="shared" si="15"/>
        <v>985.4750000000015</v>
      </c>
      <c r="AG25" s="249">
        <f t="shared" si="15"/>
        <v>892.75500000000125</v>
      </c>
      <c r="AH25" s="249">
        <f t="shared" si="15"/>
        <v>904.22551013929376</v>
      </c>
      <c r="AI25" s="249">
        <f t="shared" si="15"/>
        <v>965.69099837999806</v>
      </c>
      <c r="AJ25" s="259">
        <f t="shared" si="15"/>
        <v>1042.3685057823122</v>
      </c>
      <c r="AK25" s="249">
        <f t="shared" si="15"/>
        <v>1190.4210000000035</v>
      </c>
      <c r="AL25" s="248"/>
      <c r="AM25" s="249">
        <f t="shared" ref="AM25:AS25" si="16">+SUM(AM23:AM24,AM21,AM15)</f>
        <v>245.20699999999988</v>
      </c>
      <c r="AN25" s="249">
        <f t="shared" si="16"/>
        <v>157.07300000000009</v>
      </c>
      <c r="AO25" s="249">
        <f t="shared" si="16"/>
        <v>376.79998275059825</v>
      </c>
      <c r="AP25" s="249">
        <f t="shared" si="16"/>
        <v>1575.9200004707516</v>
      </c>
      <c r="AQ25" s="249">
        <f t="shared" si="16"/>
        <v>2451.168000000006</v>
      </c>
      <c r="AR25" s="249">
        <f t="shared" si="16"/>
        <v>2115.3485989985029</v>
      </c>
      <c r="AS25" s="249">
        <f t="shared" si="16"/>
        <v>3160.3530000400428</v>
      </c>
      <c r="AT25" s="249">
        <f t="shared" ref="AT25:AU25" si="17">+SUM(AT23:AT24,AT21,AT15)</f>
        <v>3559.944956025829</v>
      </c>
      <c r="AU25" s="249">
        <f t="shared" si="17"/>
        <v>3748.146508519294</v>
      </c>
    </row>
    <row r="26" spans="1:47" ht="5.25" customHeight="1" x14ac:dyDescent="0.15">
      <c r="C26" s="213"/>
      <c r="D26" s="260"/>
      <c r="E26" s="213"/>
      <c r="F26" s="213"/>
      <c r="G26" s="213"/>
      <c r="H26" s="260"/>
      <c r="I26" s="213"/>
      <c r="J26" s="213"/>
      <c r="K26" s="213"/>
      <c r="L26" s="260"/>
      <c r="M26" s="213"/>
      <c r="N26" s="213"/>
      <c r="O26" s="213"/>
      <c r="P26" s="260"/>
      <c r="Q26" s="213"/>
      <c r="R26" s="213"/>
      <c r="S26" s="213"/>
      <c r="T26" s="260"/>
      <c r="U26" s="213"/>
      <c r="V26" s="213"/>
      <c r="W26" s="213"/>
      <c r="X26" s="260"/>
      <c r="Y26" s="213"/>
      <c r="Z26" s="213"/>
      <c r="AA26" s="213"/>
      <c r="AB26" s="260"/>
      <c r="AC26" s="213"/>
      <c r="AD26" s="213"/>
      <c r="AE26" s="213"/>
      <c r="AF26" s="260"/>
      <c r="AG26" s="213"/>
      <c r="AH26" s="213"/>
      <c r="AI26" s="213"/>
      <c r="AJ26" s="260"/>
      <c r="AK26" s="213"/>
      <c r="AL26" s="248"/>
      <c r="AM26" s="213"/>
      <c r="AN26" s="213"/>
      <c r="AO26" s="213"/>
      <c r="AP26" s="213"/>
      <c r="AQ26" s="213"/>
      <c r="AR26" s="213"/>
      <c r="AS26" s="213"/>
      <c r="AT26" s="213"/>
      <c r="AU26" s="213"/>
    </row>
    <row r="27" spans="1:47" x14ac:dyDescent="0.15">
      <c r="B27" s="8" t="s">
        <v>264</v>
      </c>
      <c r="C27" s="247"/>
      <c r="D27" s="258"/>
      <c r="E27" s="247"/>
      <c r="F27" s="247"/>
      <c r="G27" s="247"/>
      <c r="H27" s="258">
        <v>65.774000000000001</v>
      </c>
      <c r="I27" s="247"/>
      <c r="J27" s="247"/>
      <c r="K27" s="247"/>
      <c r="L27" s="258"/>
      <c r="M27" s="247"/>
      <c r="N27" s="247"/>
      <c r="O27" s="247"/>
      <c r="P27" s="258"/>
      <c r="Q27" s="247"/>
      <c r="R27" s="247"/>
      <c r="S27" s="247"/>
      <c r="T27" s="258"/>
      <c r="U27" s="247"/>
      <c r="V27" s="247"/>
      <c r="W27" s="247"/>
      <c r="X27" s="258"/>
      <c r="Y27" s="247"/>
      <c r="Z27" s="247"/>
      <c r="AA27" s="247"/>
      <c r="AB27" s="258"/>
      <c r="AC27" s="247"/>
      <c r="AD27" s="247"/>
      <c r="AE27" s="247">
        <v>57.828010019999994</v>
      </c>
      <c r="AF27" s="258"/>
      <c r="AG27" s="247"/>
      <c r="AH27" s="247">
        <v>-18.2735101192957</v>
      </c>
      <c r="AI27" s="247">
        <v>14.000001599999999</v>
      </c>
      <c r="AJ27" s="258"/>
      <c r="AK27" s="247"/>
      <c r="AL27" s="248"/>
      <c r="AM27" s="247"/>
      <c r="AN27" s="247"/>
      <c r="AO27" s="247">
        <f>SUM(H27:K27)</f>
        <v>65.774000000000001</v>
      </c>
      <c r="AP27" s="247"/>
      <c r="AQ27" s="247"/>
      <c r="AR27" s="247"/>
      <c r="AS27" s="247"/>
      <c r="AT27" s="247">
        <f t="shared" ref="AT27:AT28" si="18">SUM(AB27:AE27)</f>
        <v>57.828010019999994</v>
      </c>
      <c r="AU27" s="247">
        <f>SUM(AF27:AI27)</f>
        <v>-4.2735085192957012</v>
      </c>
    </row>
    <row r="28" spans="1:47" x14ac:dyDescent="0.15">
      <c r="B28" s="8" t="s">
        <v>265</v>
      </c>
      <c r="C28" s="247"/>
      <c r="D28" s="258"/>
      <c r="E28" s="247"/>
      <c r="F28" s="247"/>
      <c r="G28" s="247">
        <v>-15.9</v>
      </c>
      <c r="H28" s="258">
        <v>-6.1779999999999999</v>
      </c>
      <c r="I28" s="247">
        <v>-7.6959999999999997</v>
      </c>
      <c r="J28" s="247">
        <v>-2.101</v>
      </c>
      <c r="K28" s="247">
        <v>-49.180999999999997</v>
      </c>
      <c r="L28" s="258"/>
      <c r="M28" s="247">
        <v>-11</v>
      </c>
      <c r="N28" s="247">
        <v>-18.940000000000001</v>
      </c>
      <c r="O28" s="247">
        <v>-99.37</v>
      </c>
      <c r="P28" s="258"/>
      <c r="Q28" s="247"/>
      <c r="R28" s="247"/>
      <c r="S28" s="247"/>
      <c r="T28" s="258">
        <v>33.26</v>
      </c>
      <c r="U28" s="247">
        <v>-109.64</v>
      </c>
      <c r="V28" s="247">
        <v>-3.54</v>
      </c>
      <c r="W28" s="247">
        <v>-1.28</v>
      </c>
      <c r="X28" s="258"/>
      <c r="Y28" s="247"/>
      <c r="Z28" s="247"/>
      <c r="AA28" s="247"/>
      <c r="AB28" s="258"/>
      <c r="AC28" s="247"/>
      <c r="AD28" s="247"/>
      <c r="AE28" s="247">
        <v>-191.05377685952948</v>
      </c>
      <c r="AF28" s="258"/>
      <c r="AG28" s="247"/>
      <c r="AH28" s="247"/>
      <c r="AI28" s="247">
        <v>-18.36943278</v>
      </c>
      <c r="AJ28" s="258"/>
      <c r="AK28" s="247"/>
      <c r="AL28" s="248"/>
      <c r="AM28" s="247">
        <v>-45</v>
      </c>
      <c r="AN28" s="247">
        <v>-15.9</v>
      </c>
      <c r="AO28" s="247">
        <f>SUM(H28:K28)</f>
        <v>-65.155999999999992</v>
      </c>
      <c r="AP28" s="247">
        <f>SUM(L28:O28)</f>
        <v>-129.31</v>
      </c>
      <c r="AQ28" s="247"/>
      <c r="AR28" s="247">
        <f>SUM(T28:W28)</f>
        <v>-81.2</v>
      </c>
      <c r="AS28" s="247"/>
      <c r="AT28" s="247">
        <f t="shared" si="18"/>
        <v>-191.05377685952948</v>
      </c>
      <c r="AU28" s="247">
        <f>SUM(AF28:AI28)</f>
        <v>-18.36943278</v>
      </c>
    </row>
    <row r="29" spans="1:47" x14ac:dyDescent="0.15">
      <c r="B29" s="8" t="s">
        <v>389</v>
      </c>
      <c r="C29" s="247"/>
      <c r="D29" s="258"/>
      <c r="E29" s="247"/>
      <c r="F29" s="247"/>
      <c r="G29" s="247"/>
      <c r="H29" s="258"/>
      <c r="I29" s="247"/>
      <c r="J29" s="247"/>
      <c r="K29" s="247"/>
      <c r="L29" s="258"/>
      <c r="M29" s="247"/>
      <c r="N29" s="247"/>
      <c r="O29" s="247"/>
      <c r="P29" s="258"/>
      <c r="Q29" s="247"/>
      <c r="R29" s="247"/>
      <c r="S29" s="247"/>
      <c r="T29" s="258"/>
      <c r="U29" s="247"/>
      <c r="V29" s="247"/>
      <c r="W29" s="247"/>
      <c r="X29" s="258"/>
      <c r="Y29" s="247"/>
      <c r="Z29" s="247"/>
      <c r="AA29" s="247"/>
      <c r="AB29" s="258"/>
      <c r="AC29" s="247"/>
      <c r="AD29" s="247"/>
      <c r="AE29" s="247">
        <v>55.652810170000002</v>
      </c>
      <c r="AF29" s="258"/>
      <c r="AG29" s="247"/>
      <c r="AH29" s="247"/>
      <c r="AI29" s="247"/>
      <c r="AJ29" s="258"/>
      <c r="AK29" s="247"/>
      <c r="AL29" s="248"/>
      <c r="AM29" s="247"/>
      <c r="AN29" s="247"/>
      <c r="AO29" s="247"/>
      <c r="AP29" s="247"/>
      <c r="AQ29" s="247"/>
      <c r="AR29" s="247"/>
      <c r="AS29" s="247"/>
      <c r="AT29" s="247">
        <f>SUM(AB29:AE29)</f>
        <v>55.652810170000002</v>
      </c>
      <c r="AU29" s="247"/>
    </row>
    <row r="30" spans="1:47" ht="5.25" customHeight="1" x14ac:dyDescent="0.15">
      <c r="C30" s="213"/>
      <c r="D30" s="260"/>
      <c r="E30" s="213"/>
      <c r="F30" s="213"/>
      <c r="G30" s="213"/>
      <c r="H30" s="260"/>
      <c r="I30" s="213"/>
      <c r="J30" s="213"/>
      <c r="K30" s="213"/>
      <c r="L30" s="260"/>
      <c r="M30" s="213"/>
      <c r="N30" s="213"/>
      <c r="O30" s="213"/>
      <c r="P30" s="260"/>
      <c r="Q30" s="213"/>
      <c r="R30" s="213"/>
      <c r="S30" s="213"/>
      <c r="T30" s="260"/>
      <c r="U30" s="213"/>
      <c r="V30" s="213"/>
      <c r="W30" s="213"/>
      <c r="X30" s="260"/>
      <c r="Y30" s="213"/>
      <c r="Z30" s="213"/>
      <c r="AA30" s="213"/>
      <c r="AB30" s="260"/>
      <c r="AC30" s="213"/>
      <c r="AD30" s="213"/>
      <c r="AE30" s="213"/>
      <c r="AF30" s="260"/>
      <c r="AG30" s="213"/>
      <c r="AH30" s="213"/>
      <c r="AI30" s="213"/>
      <c r="AJ30" s="260"/>
      <c r="AK30" s="213"/>
      <c r="AL30" s="248"/>
      <c r="AM30" s="213"/>
      <c r="AN30" s="213"/>
      <c r="AO30" s="213"/>
      <c r="AP30" s="213"/>
      <c r="AQ30" s="213"/>
      <c r="AR30" s="213"/>
      <c r="AS30" s="213"/>
      <c r="AT30" s="213"/>
      <c r="AU30" s="213"/>
    </row>
    <row r="31" spans="1:47" s="12" customFormat="1" x14ac:dyDescent="0.15">
      <c r="A31" s="11"/>
      <c r="B31" s="2" t="s">
        <v>311</v>
      </c>
      <c r="C31" s="249"/>
      <c r="D31" s="259">
        <f>+D28+D25+D27</f>
        <v>41.912999999999954</v>
      </c>
      <c r="E31" s="249">
        <f>+E28+E25+E27</f>
        <v>29.35899999999998</v>
      </c>
      <c r="F31" s="249">
        <f>+F28+F25+F27</f>
        <v>28.923999999999978</v>
      </c>
      <c r="G31" s="249">
        <f>+G28+G25+G27</f>
        <v>40.977000000000011</v>
      </c>
      <c r="H31" s="259">
        <f t="shared" ref="H31:O31" si="19">+H28+H25+H27</f>
        <v>128.97891656770338</v>
      </c>
      <c r="I31" s="249">
        <f t="shared" si="19"/>
        <v>82.098087090903249</v>
      </c>
      <c r="J31" s="249">
        <f t="shared" si="19"/>
        <v>92.255613723933493</v>
      </c>
      <c r="K31" s="249">
        <f t="shared" si="19"/>
        <v>74.085365368057964</v>
      </c>
      <c r="L31" s="259">
        <f t="shared" si="19"/>
        <v>367.12139519645501</v>
      </c>
      <c r="M31" s="249">
        <f t="shared" si="19"/>
        <v>369.13778895476617</v>
      </c>
      <c r="N31" s="249">
        <f t="shared" si="19"/>
        <v>336.62112061096724</v>
      </c>
      <c r="O31" s="249">
        <f t="shared" si="19"/>
        <v>373.72969570856259</v>
      </c>
      <c r="P31" s="259">
        <f t="shared" ref="P31:W31" si="20">+P28+P25+P27</f>
        <v>829.56200000000229</v>
      </c>
      <c r="Q31" s="249">
        <f t="shared" si="20"/>
        <v>535.69900000000155</v>
      </c>
      <c r="R31" s="249">
        <f t="shared" si="20"/>
        <v>507.83000000000419</v>
      </c>
      <c r="S31" s="249">
        <f t="shared" si="20"/>
        <v>578.07699999999772</v>
      </c>
      <c r="T31" s="259">
        <f t="shared" si="20"/>
        <v>613.41999999999609</v>
      </c>
      <c r="U31" s="249">
        <f t="shared" si="20"/>
        <v>310.45959899847333</v>
      </c>
      <c r="V31" s="249">
        <f t="shared" si="20"/>
        <v>487.75200000003258</v>
      </c>
      <c r="W31" s="249">
        <f t="shared" si="20"/>
        <v>622.51700000000142</v>
      </c>
      <c r="X31" s="259">
        <f>+X28+X25+X27</f>
        <v>794.20199999999909</v>
      </c>
      <c r="Y31" s="249">
        <f>+Y28+Y25+Y27</f>
        <v>729.40600000004565</v>
      </c>
      <c r="Z31" s="249">
        <f>+Z28+Z25+Z27</f>
        <v>806.68300003999934</v>
      </c>
      <c r="AA31" s="249">
        <f>+AA28+AA25+AA27</f>
        <v>830.06199999999956</v>
      </c>
      <c r="AB31" s="259">
        <f>+AB28+AB25+AB27</f>
        <v>884.4920000000011</v>
      </c>
      <c r="AC31" s="249">
        <f t="shared" ref="AC31:AD31" si="21">+AC28+AC25+AC27</f>
        <v>904.30200119582582</v>
      </c>
      <c r="AD31" s="249">
        <f t="shared" si="21"/>
        <v>851.81900000000121</v>
      </c>
      <c r="AE31" s="249">
        <f>+AE28+AE25+AE27+AE29</f>
        <v>841.7589981604707</v>
      </c>
      <c r="AF31" s="259">
        <f>+AF28+AF25+AF27+AF29</f>
        <v>985.4750000000015</v>
      </c>
      <c r="AG31" s="249">
        <f>+AG28+AG25+AG27+AG29</f>
        <v>892.75500000000125</v>
      </c>
      <c r="AH31" s="249">
        <f>+AH28+AH25+AH27+AH29</f>
        <v>885.95200001999808</v>
      </c>
      <c r="AI31" s="249">
        <f>+AI28+AI25+AI27+AI29</f>
        <v>961.32156719999807</v>
      </c>
      <c r="AJ31" s="259">
        <f t="shared" ref="AJ31" si="22">+AJ28+AJ25+AJ27+AJ29</f>
        <v>1042.3685057823122</v>
      </c>
      <c r="AK31" s="249">
        <f>+AK28+AK25+AK27+AK29</f>
        <v>1190.4210000000035</v>
      </c>
      <c r="AL31" s="248"/>
      <c r="AM31" s="249">
        <f t="shared" ref="AM31:AS31" si="23">+AM28+AM25+AM27</f>
        <v>200.20699999999988</v>
      </c>
      <c r="AN31" s="249">
        <f t="shared" si="23"/>
        <v>141.17300000000009</v>
      </c>
      <c r="AO31" s="249">
        <f t="shared" si="23"/>
        <v>377.41798275059824</v>
      </c>
      <c r="AP31" s="249">
        <f t="shared" si="23"/>
        <v>1446.6100004707516</v>
      </c>
      <c r="AQ31" s="249">
        <f t="shared" si="23"/>
        <v>2451.168000000006</v>
      </c>
      <c r="AR31" s="249">
        <f t="shared" si="23"/>
        <v>2034.1485989985028</v>
      </c>
      <c r="AS31" s="249">
        <f t="shared" si="23"/>
        <v>3160.3530000400428</v>
      </c>
      <c r="AT31" s="249">
        <f>+AT28+AT25+AT27+AT29</f>
        <v>3482.3719993562995</v>
      </c>
      <c r="AU31" s="249">
        <f>+AU28+AU25+AU27+AU29</f>
        <v>3725.5035672199983</v>
      </c>
    </row>
    <row r="32" spans="1:47" ht="5.25" customHeight="1" x14ac:dyDescent="0.15">
      <c r="D32" s="257"/>
      <c r="H32" s="257"/>
      <c r="L32" s="257"/>
      <c r="P32" s="257"/>
      <c r="T32" s="257"/>
      <c r="X32" s="257"/>
      <c r="AB32" s="257"/>
      <c r="AF32" s="257"/>
      <c r="AJ32" s="257"/>
      <c r="AL32" s="248"/>
    </row>
    <row r="33" spans="1:48" x14ac:dyDescent="0.15">
      <c r="B33" s="11" t="s">
        <v>13</v>
      </c>
      <c r="C33" s="247"/>
      <c r="D33" s="258">
        <f>+'Nordnet by quarter (old)'!BJ26</f>
        <v>-11.57</v>
      </c>
      <c r="E33" s="247">
        <f>+'Nordnet by quarter (old)'!BK26</f>
        <v>-2.7069999999999999</v>
      </c>
      <c r="F33" s="247">
        <f>+'Nordnet by quarter (old)'!BL26</f>
        <v>-2.56</v>
      </c>
      <c r="G33" s="247">
        <f>+'Nordnet by quarter (old)'!BM26</f>
        <v>-6.2839999999999998</v>
      </c>
      <c r="H33" s="258">
        <v>-10.026</v>
      </c>
      <c r="I33" s="247">
        <v>-8.6769999999999996</v>
      </c>
      <c r="J33" s="247">
        <v>-11.385999999999999</v>
      </c>
      <c r="K33" s="247">
        <v>-7.835</v>
      </c>
      <c r="L33" s="258">
        <v>-65.745000000000005</v>
      </c>
      <c r="M33" s="247">
        <v>-67.144999999999996</v>
      </c>
      <c r="N33" s="247">
        <v>-59.237000000000002</v>
      </c>
      <c r="O33" s="247">
        <v>-81.75</v>
      </c>
      <c r="P33" s="258">
        <v>-163.69900000000001</v>
      </c>
      <c r="Q33" s="247">
        <v>-95.347999999999999</v>
      </c>
      <c r="R33" s="247">
        <v>-98.296000000000006</v>
      </c>
      <c r="S33" s="247">
        <v>-109.17400000000001</v>
      </c>
      <c r="T33" s="258">
        <v>-112.27800000000001</v>
      </c>
      <c r="U33" s="247">
        <v>-73.611999999999995</v>
      </c>
      <c r="V33" s="247">
        <v>-87.49</v>
      </c>
      <c r="W33" s="247">
        <v>-108.31699999999999</v>
      </c>
      <c r="X33" s="258">
        <v>-142.864</v>
      </c>
      <c r="Y33" s="247">
        <v>-133.00899999999999</v>
      </c>
      <c r="Z33" s="247">
        <v>-148.6</v>
      </c>
      <c r="AA33" s="247">
        <v>-157.143</v>
      </c>
      <c r="AB33" s="258">
        <v>-163.495</v>
      </c>
      <c r="AC33" s="247">
        <v>-167.51499999999999</v>
      </c>
      <c r="AD33" s="247">
        <v>-155.08099999999999</v>
      </c>
      <c r="AE33" s="247">
        <v>-182.72200000000001</v>
      </c>
      <c r="AF33" s="258">
        <v>-186.398</v>
      </c>
      <c r="AG33" s="247">
        <v>-167.41399999999999</v>
      </c>
      <c r="AH33" s="247">
        <v>-169.137</v>
      </c>
      <c r="AI33" s="247">
        <v>-187.4</v>
      </c>
      <c r="AJ33" s="258">
        <v>-203.20099999999999</v>
      </c>
      <c r="AK33" s="247">
        <v>-230.27199999999999</v>
      </c>
      <c r="AL33" s="248"/>
      <c r="AM33" s="247">
        <v>-32.873999999999995</v>
      </c>
      <c r="AN33" s="247">
        <v>-23.120999999999999</v>
      </c>
      <c r="AO33" s="247">
        <f>SUM(H33:K33)</f>
        <v>-37.923999999999999</v>
      </c>
      <c r="AP33" s="247">
        <f>SUM(L33:O33)</f>
        <v>-273.87699999999995</v>
      </c>
      <c r="AQ33" s="247">
        <f>SUM(P33:S33)</f>
        <v>-466.51700000000005</v>
      </c>
      <c r="AR33" s="247">
        <f>SUM(T33:W33)</f>
        <v>-381.697</v>
      </c>
      <c r="AS33" s="247">
        <f>SUM(X33:AA33)</f>
        <v>-581.61599999999999</v>
      </c>
      <c r="AT33" s="247">
        <f>SUM(AB33:AE33)</f>
        <v>-668.81299999999999</v>
      </c>
      <c r="AU33" s="247">
        <f>SUM(AF33:AI33)</f>
        <v>-710.34900000000005</v>
      </c>
    </row>
    <row r="34" spans="1:48" ht="5.25" customHeight="1" x14ac:dyDescent="0.15">
      <c r="D34" s="257"/>
      <c r="H34" s="257"/>
      <c r="L34" s="257"/>
      <c r="P34" s="257"/>
      <c r="T34" s="257"/>
      <c r="X34" s="257"/>
      <c r="AB34" s="257"/>
      <c r="AF34" s="257"/>
      <c r="AJ34" s="257"/>
      <c r="AL34" s="248"/>
    </row>
    <row r="35" spans="1:48" x14ac:dyDescent="0.15">
      <c r="B35" s="12" t="s">
        <v>176</v>
      </c>
      <c r="C35" s="249"/>
      <c r="D35" s="259">
        <f>+D31+D33</f>
        <v>30.342999999999954</v>
      </c>
      <c r="E35" s="249">
        <f>+E31+E33</f>
        <v>26.65199999999998</v>
      </c>
      <c r="F35" s="249">
        <f>+F31+F33</f>
        <v>26.363999999999979</v>
      </c>
      <c r="G35" s="249">
        <f>+G31+G33</f>
        <v>34.693000000000012</v>
      </c>
      <c r="H35" s="259">
        <f>+H31+H33</f>
        <v>118.95291656770338</v>
      </c>
      <c r="I35" s="249">
        <f t="shared" ref="I35:O35" si="24">+I31+I33</f>
        <v>73.421087090903256</v>
      </c>
      <c r="J35" s="249">
        <f t="shared" si="24"/>
        <v>80.869613723933497</v>
      </c>
      <c r="K35" s="249">
        <f t="shared" si="24"/>
        <v>66.25036536805797</v>
      </c>
      <c r="L35" s="259">
        <f t="shared" si="24"/>
        <v>301.37639519645501</v>
      </c>
      <c r="M35" s="249">
        <f t="shared" si="24"/>
        <v>301.99278895476618</v>
      </c>
      <c r="N35" s="249">
        <f t="shared" si="24"/>
        <v>277.38412061096722</v>
      </c>
      <c r="O35" s="249">
        <f t="shared" si="24"/>
        <v>291.97969570856259</v>
      </c>
      <c r="P35" s="259">
        <f>+P31+P33</f>
        <v>665.86300000000233</v>
      </c>
      <c r="Q35" s="249">
        <f>+Q31+Q33</f>
        <v>440.35100000000153</v>
      </c>
      <c r="R35" s="249">
        <f t="shared" ref="R35:Z35" si="25">+R31+R33</f>
        <v>409.5340000000042</v>
      </c>
      <c r="S35" s="249">
        <f t="shared" si="25"/>
        <v>468.90299999999775</v>
      </c>
      <c r="T35" s="259">
        <f t="shared" si="25"/>
        <v>501.14199999999607</v>
      </c>
      <c r="U35" s="249">
        <f t="shared" si="25"/>
        <v>236.84759899847333</v>
      </c>
      <c r="V35" s="249">
        <f t="shared" si="25"/>
        <v>400.26200000003257</v>
      </c>
      <c r="W35" s="249">
        <f t="shared" si="25"/>
        <v>514.20000000000141</v>
      </c>
      <c r="X35" s="259">
        <f t="shared" si="25"/>
        <v>651.33799999999906</v>
      </c>
      <c r="Y35" s="249">
        <f t="shared" si="25"/>
        <v>596.39700000004564</v>
      </c>
      <c r="Z35" s="249">
        <f t="shared" si="25"/>
        <v>658.08300003999932</v>
      </c>
      <c r="AA35" s="249">
        <f>+AA31+AA33</f>
        <v>672.91899999999953</v>
      </c>
      <c r="AB35" s="259">
        <f>+AB31+AB33</f>
        <v>720.99700000000109</v>
      </c>
      <c r="AC35" s="249">
        <f>+AC31+AC33</f>
        <v>736.78700119582584</v>
      </c>
      <c r="AD35" s="249">
        <f>+AD31+AD33</f>
        <v>696.73800000000119</v>
      </c>
      <c r="AE35" s="249">
        <f>+AE31+AE33</f>
        <v>659.03699816047072</v>
      </c>
      <c r="AF35" s="259">
        <f t="shared" ref="AF35:AH35" si="26">+AF31+AF33</f>
        <v>799.07700000000148</v>
      </c>
      <c r="AG35" s="249">
        <f t="shared" si="26"/>
        <v>725.34100000000126</v>
      </c>
      <c r="AH35" s="249">
        <f t="shared" si="26"/>
        <v>716.81500001999802</v>
      </c>
      <c r="AI35" s="249">
        <f t="shared" ref="AI35:AK35" si="27">+AI31+AI33</f>
        <v>773.92156719999809</v>
      </c>
      <c r="AJ35" s="259">
        <f t="shared" si="27"/>
        <v>839.16750578231222</v>
      </c>
      <c r="AK35" s="249">
        <f t="shared" si="27"/>
        <v>960.14900000000353</v>
      </c>
      <c r="AL35" s="307"/>
      <c r="AM35" s="249">
        <f t="shared" ref="AM35:AS35" si="28">+AM31+AM33</f>
        <v>167.33299999999988</v>
      </c>
      <c r="AN35" s="249">
        <f t="shared" si="28"/>
        <v>118.05200000000009</v>
      </c>
      <c r="AO35" s="249">
        <f t="shared" si="28"/>
        <v>339.49398275059826</v>
      </c>
      <c r="AP35" s="249">
        <f t="shared" si="28"/>
        <v>1172.7330004707517</v>
      </c>
      <c r="AQ35" s="249">
        <f t="shared" si="28"/>
        <v>1984.651000000006</v>
      </c>
      <c r="AR35" s="249">
        <f t="shared" si="28"/>
        <v>1652.451598998503</v>
      </c>
      <c r="AS35" s="249">
        <f t="shared" si="28"/>
        <v>2578.7370000400429</v>
      </c>
      <c r="AT35" s="249">
        <f t="shared" ref="AT35:AU35" si="29">+AT31+AT33</f>
        <v>2813.5589993562994</v>
      </c>
      <c r="AU35" s="249">
        <f t="shared" si="29"/>
        <v>3015.1545672199982</v>
      </c>
    </row>
    <row r="36" spans="1:48" x14ac:dyDescent="0.15">
      <c r="D36" s="257"/>
      <c r="H36" s="257"/>
      <c r="L36" s="257"/>
      <c r="P36" s="257"/>
      <c r="T36" s="257"/>
      <c r="U36" s="249"/>
      <c r="V36" s="249"/>
      <c r="W36" s="249"/>
      <c r="X36" s="257"/>
      <c r="Y36" s="249"/>
      <c r="Z36" s="249"/>
      <c r="AA36" s="249"/>
      <c r="AB36" s="259"/>
      <c r="AC36" s="249"/>
      <c r="AD36" s="249"/>
      <c r="AE36" s="249"/>
      <c r="AF36" s="259"/>
      <c r="AG36" s="249"/>
      <c r="AH36" s="249"/>
      <c r="AI36" s="249"/>
      <c r="AJ36" s="259"/>
      <c r="AK36" s="249"/>
      <c r="AL36" s="248"/>
      <c r="AM36" s="249"/>
      <c r="AN36" s="249"/>
      <c r="AO36" s="249"/>
      <c r="AP36" s="249"/>
      <c r="AQ36" s="249"/>
      <c r="AR36" s="249"/>
      <c r="AS36" s="249"/>
      <c r="AT36" s="249"/>
    </row>
    <row r="37" spans="1:48" x14ac:dyDescent="0.15">
      <c r="C37" s="213"/>
      <c r="D37" s="260"/>
      <c r="E37" s="213"/>
      <c r="F37" s="213"/>
      <c r="G37" s="213"/>
      <c r="H37" s="260"/>
      <c r="I37" s="213"/>
      <c r="J37" s="213"/>
      <c r="K37" s="213"/>
      <c r="L37" s="260"/>
      <c r="M37" s="213"/>
      <c r="N37" s="213"/>
      <c r="O37" s="213"/>
      <c r="P37" s="260"/>
      <c r="Q37" s="213"/>
      <c r="R37" s="213"/>
      <c r="S37" s="213"/>
      <c r="T37" s="260"/>
      <c r="U37" s="213"/>
      <c r="V37" s="213"/>
      <c r="W37" s="213"/>
      <c r="X37" s="260"/>
      <c r="Y37" s="213"/>
      <c r="Z37" s="213"/>
      <c r="AA37" s="213"/>
      <c r="AB37" s="260"/>
      <c r="AC37" s="213"/>
      <c r="AD37" s="213"/>
      <c r="AE37" s="213"/>
      <c r="AF37" s="260"/>
      <c r="AG37" s="213"/>
      <c r="AH37" s="213"/>
      <c r="AI37" s="213"/>
      <c r="AJ37" s="260"/>
      <c r="AK37" s="213"/>
      <c r="AL37" s="248"/>
      <c r="AM37" s="213"/>
      <c r="AN37" s="213"/>
      <c r="AO37" s="213"/>
      <c r="AP37" s="213"/>
      <c r="AQ37" s="213"/>
      <c r="AR37" s="213"/>
      <c r="AS37" s="213"/>
      <c r="AT37" s="213"/>
      <c r="AU37" s="213"/>
    </row>
    <row r="38" spans="1:48" x14ac:dyDescent="0.15">
      <c r="B38" s="12" t="s">
        <v>312</v>
      </c>
      <c r="C38" s="249"/>
      <c r="D38" s="259"/>
      <c r="E38" s="249"/>
      <c r="F38" s="249"/>
      <c r="G38" s="249"/>
      <c r="H38" s="259">
        <f>+H35-(H27+H28)*(1-20%)-20%*H27</f>
        <v>58.121316567703381</v>
      </c>
      <c r="I38" s="249">
        <f>+I35-(I27+I28)*(1-20%)</f>
        <v>79.577887090903261</v>
      </c>
      <c r="J38" s="249">
        <f t="shared" ref="J38:O38" si="30">+J35-(J27+J28)*(1-20%)</f>
        <v>82.550413723933502</v>
      </c>
      <c r="K38" s="249">
        <f t="shared" si="30"/>
        <v>105.59516536805796</v>
      </c>
      <c r="L38" s="259">
        <f t="shared" si="30"/>
        <v>301.37639519645501</v>
      </c>
      <c r="M38" s="249">
        <f t="shared" si="30"/>
        <v>310.79278895476619</v>
      </c>
      <c r="N38" s="249">
        <f t="shared" si="30"/>
        <v>292.5361206109672</v>
      </c>
      <c r="O38" s="249">
        <f t="shared" si="30"/>
        <v>371.47569570856263</v>
      </c>
      <c r="P38" s="259">
        <f>+P35-(P27+P28)*(1-20%)</f>
        <v>665.86300000000233</v>
      </c>
      <c r="Q38" s="249">
        <f>+Q35-(Q27+Q28)*(1-20%)</f>
        <v>440.35100000000153</v>
      </c>
      <c r="R38" s="249">
        <f>+R35-(R27+R28)*(1-20%)</f>
        <v>409.5340000000042</v>
      </c>
      <c r="S38" s="249">
        <f>+S35-(S27+S28)*(1-20%)</f>
        <v>468.90299999999775</v>
      </c>
      <c r="T38" s="259">
        <f>+T35-(T27+T28)*(1-20%)</f>
        <v>474.53399999999607</v>
      </c>
      <c r="U38" s="249">
        <f>+U35-(U27+U28+100)*(1-20%)+100</f>
        <v>344.55959899847335</v>
      </c>
      <c r="V38" s="249">
        <f t="shared" ref="V38:AC38" si="31">+V35-(V27+V28)*(1-20%)</f>
        <v>403.09400000003257</v>
      </c>
      <c r="W38" s="249">
        <f t="shared" si="31"/>
        <v>515.22400000000141</v>
      </c>
      <c r="X38" s="259">
        <f t="shared" si="31"/>
        <v>651.33799999999906</v>
      </c>
      <c r="Y38" s="249">
        <f t="shared" si="31"/>
        <v>596.39700000004564</v>
      </c>
      <c r="Z38" s="249">
        <f t="shared" si="31"/>
        <v>658.08300003999932</v>
      </c>
      <c r="AA38" s="249">
        <f t="shared" si="31"/>
        <v>672.91899999999953</v>
      </c>
      <c r="AB38" s="259">
        <f t="shared" si="31"/>
        <v>720.99700000000109</v>
      </c>
      <c r="AC38" s="249">
        <f t="shared" si="31"/>
        <v>736.78700119582584</v>
      </c>
      <c r="AD38" s="249">
        <f t="shared" ref="AD38" si="32">+AD35-(AD27+AD28)*(1-20%)</f>
        <v>696.73800000000119</v>
      </c>
      <c r="AE38" s="249">
        <f>+AE35-(AE27+AE28+63.715+AE29)*(1-20%)+63.715</f>
        <v>733.8383634960943</v>
      </c>
      <c r="AF38" s="259">
        <f t="shared" ref="AF38" si="33">+AF35-(AF27+AF28)*(1-20%)</f>
        <v>799.07700000000148</v>
      </c>
      <c r="AG38" s="249">
        <f t="shared" ref="AG38:AH38" si="34">+AG35-(AG27+AG28)*(1-20%)</f>
        <v>725.34100000000126</v>
      </c>
      <c r="AH38" s="249">
        <f t="shared" si="34"/>
        <v>731.43380811543454</v>
      </c>
      <c r="AI38" s="249">
        <f t="shared" ref="AI38:AK38" si="35">+AI35-(AI27+AI28)*(1-20%)</f>
        <v>777.41711214399811</v>
      </c>
      <c r="AJ38" s="259">
        <f t="shared" si="35"/>
        <v>839.16750578231222</v>
      </c>
      <c r="AK38" s="249">
        <f t="shared" si="35"/>
        <v>960.14900000000353</v>
      </c>
      <c r="AL38" s="248"/>
      <c r="AM38" s="249">
        <f>+AM35-AM27-(1-20%)*AM28</f>
        <v>203.33299999999988</v>
      </c>
      <c r="AN38" s="249">
        <f>+AN35-AN27-(1-20%)*AN28</f>
        <v>130.77200000000011</v>
      </c>
      <c r="AO38" s="249">
        <f>+AO35-AO27-(1-20%)*AO28</f>
        <v>325.84478275059826</v>
      </c>
      <c r="AP38" s="249">
        <f>+AP35-AP27-(1-20%)*AP28</f>
        <v>1276.1810004707518</v>
      </c>
      <c r="AQ38" s="249">
        <f>+AQ35-AQ27-(1-20%)*AQ28</f>
        <v>1984.651000000006</v>
      </c>
      <c r="AR38" s="249">
        <f>+AR35-(AR27+AR28+100)*(1-20%)+100</f>
        <v>1737.411598998503</v>
      </c>
      <c r="AS38" s="249">
        <f>+AS35-AS27-(1-20%)*AS28</f>
        <v>2578.7370000400429</v>
      </c>
      <c r="AT38" s="249">
        <f>+AT35-(AT27+AT28+63.715+AT29)*(1-20%)+63.715</f>
        <v>2888.3603646919232</v>
      </c>
      <c r="AU38" s="249">
        <f t="shared" ref="AU38" si="36">+AU35-(AU27+AU28)*(1-20%)</f>
        <v>3033.2689202594347</v>
      </c>
    </row>
    <row r="39" spans="1:48" s="12" customFormat="1" ht="24" x14ac:dyDescent="0.15">
      <c r="A39" s="11"/>
      <c r="B39" s="240" t="s">
        <v>317</v>
      </c>
      <c r="C39" s="249"/>
      <c r="D39" s="259"/>
      <c r="E39" s="249"/>
      <c r="F39" s="249"/>
      <c r="G39" s="249"/>
      <c r="H39" s="259">
        <f>+H35-(H27+H28)*(1-20%)-20%*H27-(1-0%)*H19</f>
        <v>64.661738997703381</v>
      </c>
      <c r="I39" s="249">
        <f t="shared" ref="I39:T39" si="37">+I35-(I27+I28)*(1-20%)-(1-0%)*I19</f>
        <v>89.425309520903255</v>
      </c>
      <c r="J39" s="249">
        <f t="shared" si="37"/>
        <v>99.7348361539335</v>
      </c>
      <c r="K39" s="249">
        <f t="shared" si="37"/>
        <v>115.03658779805795</v>
      </c>
      <c r="L39" s="259">
        <f t="shared" si="37"/>
        <v>310.44839519645501</v>
      </c>
      <c r="M39" s="249">
        <f t="shared" si="37"/>
        <v>319.49378895476622</v>
      </c>
      <c r="N39" s="249">
        <f t="shared" si="37"/>
        <v>301.20312061096718</v>
      </c>
      <c r="O39" s="249">
        <f t="shared" si="37"/>
        <v>380.02069570856264</v>
      </c>
      <c r="P39" s="259">
        <f t="shared" si="37"/>
        <v>672.83900000000233</v>
      </c>
      <c r="Q39" s="249">
        <f t="shared" si="37"/>
        <v>447.42900000000151</v>
      </c>
      <c r="R39" s="249">
        <f t="shared" si="37"/>
        <v>416.50800000000419</v>
      </c>
      <c r="S39" s="249">
        <f t="shared" si="37"/>
        <v>476.01999999999776</v>
      </c>
      <c r="T39" s="259">
        <f t="shared" si="37"/>
        <v>481.94199999999609</v>
      </c>
      <c r="U39" s="249">
        <f>+U35-(U27+U28+100)*(1-20%)+100-(1-0%)*U19</f>
        <v>350.71159899847333</v>
      </c>
      <c r="V39" s="249">
        <f t="shared" ref="V39:AA39" si="38">+V35-(V27+V28)*(1-20%)-(1-0%)*V19</f>
        <v>408.72400000003256</v>
      </c>
      <c r="W39" s="249">
        <f t="shared" si="38"/>
        <v>520.8350000000014</v>
      </c>
      <c r="X39" s="259">
        <f t="shared" si="38"/>
        <v>656.76199999999903</v>
      </c>
      <c r="Y39" s="249">
        <f t="shared" si="38"/>
        <v>601.63300000004563</v>
      </c>
      <c r="Z39" s="249">
        <f t="shared" si="38"/>
        <v>663.57000003999929</v>
      </c>
      <c r="AA39" s="249">
        <f t="shared" si="38"/>
        <v>678.15599999999949</v>
      </c>
      <c r="AB39" s="259">
        <f>+AB35-(AB27+AB28)*(1-20%)-(1-0%)*AB19</f>
        <v>726.24800000000107</v>
      </c>
      <c r="AC39" s="249">
        <f>+AC35-(AC27+AC28)*(1-20%)-(1-0%)*AC19</f>
        <v>742.07500119582585</v>
      </c>
      <c r="AD39" s="249">
        <f>+AD35-(AD27+AD28)*(1-20%)-(1-0%)*AD19</f>
        <v>701.90800000000115</v>
      </c>
      <c r="AE39" s="249">
        <f>+AE35-(AE27+AE28+AE29+63.715)*(1-20%)-(1-0%)*AE19+63.715</f>
        <v>738.27432815609427</v>
      </c>
      <c r="AF39" s="259">
        <f>+AF35-(AF27+AF28)*(1-20%)-(1-0%)*AF19</f>
        <v>803.49400000000151</v>
      </c>
      <c r="AG39" s="249">
        <f>+AG35-(AG27+AG28)*(1-20%)-(1-0%)*AG19</f>
        <v>729.64000000000124</v>
      </c>
      <c r="AH39" s="249">
        <f>+AH35-(AH27+AH28)*(1-20%)-(1-0%)*AH19</f>
        <v>735.75180811543453</v>
      </c>
      <c r="AI39" s="249">
        <f t="shared" ref="AI39:AJ39" si="39">+AI35-(AI27+AI28)*(1-20%)-(1-0%)*AI19</f>
        <v>781.68411214399816</v>
      </c>
      <c r="AJ39" s="259">
        <f t="shared" si="39"/>
        <v>843.47150578231219</v>
      </c>
      <c r="AK39" s="249">
        <f>+AK35-(AK27+AK28)*(1-20%)-(1-0%)*AK19</f>
        <v>964.70100000000355</v>
      </c>
      <c r="AL39" s="248"/>
      <c r="AM39" s="249">
        <f>+AM35-(AM27+AM28)*(1-20%)-(1-0%)*AM19</f>
        <v>236.34299999999988</v>
      </c>
      <c r="AN39" s="249">
        <f>+AN35-(AN27+AN28)*(1-20%)-(1-0%)*AN19</f>
        <v>159.83300000000011</v>
      </c>
      <c r="AO39" s="249">
        <f>+AO35-(AO27+AO28)*(1-20%)-20%*AO27-(1-0%)*AO19</f>
        <v>368.85847247059826</v>
      </c>
      <c r="AP39" s="249">
        <f>+AP35-(AP27+AP28)*(1-20%)-(1-0%)*AP19</f>
        <v>1311.1660004707517</v>
      </c>
      <c r="AQ39" s="249">
        <f>+AQ35-(AQ27+AQ28)*(1-20%)-(1-0%)*AQ19</f>
        <v>2012.796000000006</v>
      </c>
      <c r="AR39" s="249">
        <f>+AR35-(AR27+AR28+100)*(1-20%)+100-(1-0%)*AR19</f>
        <v>1762.2125989985029</v>
      </c>
      <c r="AS39" s="249">
        <f>+AS35-(AS27+AS28)*(1-20%)-(1-0%)*AS19</f>
        <v>2600.1210000400429</v>
      </c>
      <c r="AT39" s="249">
        <f>+AT35-(AT27+AT28+AT29+63.715)*(1-20%)-(1-0%)*AT19+63.715</f>
        <v>2908.5053293519231</v>
      </c>
      <c r="AU39" s="249">
        <f t="shared" ref="AU39" si="40">+AU35-(AU27+AU28)*(1-20%)-(1-0%)*AU19</f>
        <v>3050.5699202594346</v>
      </c>
    </row>
    <row r="40" spans="1:48" s="12" customFormat="1" x14ac:dyDescent="0.15">
      <c r="A40" s="11"/>
      <c r="B40" s="240"/>
      <c r="C40" s="249"/>
      <c r="D40" s="259"/>
      <c r="E40" s="249"/>
      <c r="F40" s="249"/>
      <c r="G40" s="249"/>
      <c r="H40" s="259"/>
      <c r="I40" s="249"/>
      <c r="J40" s="249"/>
      <c r="K40" s="249"/>
      <c r="L40" s="259"/>
      <c r="M40" s="249"/>
      <c r="N40" s="249"/>
      <c r="O40" s="249"/>
      <c r="P40" s="278"/>
      <c r="Q40" s="214"/>
      <c r="R40" s="214"/>
      <c r="S40" s="249"/>
      <c r="T40" s="278"/>
      <c r="U40" s="284"/>
      <c r="V40" s="214"/>
      <c r="W40" s="214"/>
      <c r="X40" s="278"/>
      <c r="Y40" s="284"/>
      <c r="Z40" s="214"/>
      <c r="AA40" s="214"/>
      <c r="AB40" s="278"/>
      <c r="AC40" s="214"/>
      <c r="AD40" s="214"/>
      <c r="AE40" s="214"/>
      <c r="AF40" s="278"/>
      <c r="AG40" s="214"/>
      <c r="AH40" s="214"/>
      <c r="AI40" s="214"/>
      <c r="AJ40" s="278"/>
      <c r="AK40" s="214"/>
      <c r="AL40" s="248"/>
      <c r="AM40" s="214"/>
      <c r="AN40" s="214"/>
      <c r="AO40" s="214"/>
      <c r="AP40" s="214"/>
      <c r="AQ40" s="214"/>
      <c r="AR40" s="214"/>
      <c r="AS40" s="214"/>
      <c r="AT40" s="214"/>
      <c r="AU40" s="249"/>
    </row>
    <row r="41" spans="1:48" x14ac:dyDescent="0.15">
      <c r="B41" s="8" t="s">
        <v>335</v>
      </c>
      <c r="C41" s="247"/>
      <c r="D41" s="258"/>
      <c r="E41" s="247"/>
      <c r="F41" s="247"/>
      <c r="G41" s="247"/>
      <c r="H41" s="258">
        <v>-1.4890000000000001</v>
      </c>
      <c r="I41" s="247">
        <v>-7.7279</v>
      </c>
      <c r="J41" s="247">
        <v>-8.7149000000000001</v>
      </c>
      <c r="K41" s="247">
        <v>-8.7508999999999997</v>
      </c>
      <c r="L41" s="258">
        <v>-8.6569000000000003</v>
      </c>
      <c r="M41" s="247">
        <v>-8.7149000000000001</v>
      </c>
      <c r="N41" s="247">
        <v>-8.6578999999999997</v>
      </c>
      <c r="O41" s="247">
        <v>-10.19</v>
      </c>
      <c r="P41" s="258">
        <v>-8.5640000000000001</v>
      </c>
      <c r="Q41" s="247">
        <v>-8.657</v>
      </c>
      <c r="R41" s="247">
        <v>-8.75</v>
      </c>
      <c r="S41" s="247">
        <v>-11.694867</v>
      </c>
      <c r="T41" s="258">
        <v>-14.268000000000001</v>
      </c>
      <c r="U41" s="247">
        <v>-15.134</v>
      </c>
      <c r="V41" s="247">
        <v>-16.344999999999999</v>
      </c>
      <c r="W41" s="247">
        <v>-19.97</v>
      </c>
      <c r="X41" s="258">
        <v>-24.99</v>
      </c>
      <c r="Y41" s="247">
        <v>-30.58</v>
      </c>
      <c r="Z41" s="247">
        <v>-32.524000000000001</v>
      </c>
      <c r="AA41" s="247">
        <v>-33.200000000000003</v>
      </c>
      <c r="AB41" s="258">
        <v>-31.614999999999998</v>
      </c>
      <c r="AC41" s="247">
        <v>-18.902999999999999</v>
      </c>
      <c r="AD41" s="247">
        <v>-18.415849999999999</v>
      </c>
      <c r="AE41" s="247">
        <v>-17.368749999999999</v>
      </c>
      <c r="AF41" s="258">
        <v>-15.076000000000001</v>
      </c>
      <c r="AG41" s="247">
        <v>-14.964</v>
      </c>
      <c r="AH41" s="305">
        <v>-15.142850000000001</v>
      </c>
      <c r="AI41" s="305">
        <v>-14.697850000000001</v>
      </c>
      <c r="AJ41" s="309">
        <v>-14.028</v>
      </c>
      <c r="AK41" s="247">
        <v>-14.51</v>
      </c>
      <c r="AL41" s="248"/>
      <c r="AM41" s="305">
        <v>0</v>
      </c>
      <c r="AN41" s="305">
        <v>0</v>
      </c>
      <c r="AO41" s="305">
        <f>SUM(H41:K41)</f>
        <v>-26.682700000000004</v>
      </c>
      <c r="AP41" s="305">
        <f>SUM(L41:O41)</f>
        <v>-36.219699999999996</v>
      </c>
      <c r="AQ41" s="305">
        <f>SUM(P41:S41)</f>
        <v>-37.665866999999999</v>
      </c>
      <c r="AR41" s="305">
        <f>SUM(T41:W41)</f>
        <v>-65.716999999999999</v>
      </c>
      <c r="AS41" s="305">
        <f>SUM(X41:AA41)</f>
        <v>-121.294</v>
      </c>
      <c r="AT41" s="305">
        <f>SUM(AB41:AE41)</f>
        <v>-86.302600000000012</v>
      </c>
      <c r="AU41" s="247">
        <f>SUM(AF41:AI41)</f>
        <v>-59.880700000000004</v>
      </c>
    </row>
    <row r="42" spans="1:48" x14ac:dyDescent="0.15">
      <c r="C42" s="212"/>
      <c r="D42" s="261"/>
      <c r="E42" s="212"/>
      <c r="F42" s="212"/>
      <c r="G42" s="212"/>
      <c r="H42" s="261"/>
      <c r="I42" s="212"/>
      <c r="J42" s="212"/>
      <c r="K42" s="212"/>
      <c r="L42" s="261"/>
      <c r="M42" s="212"/>
      <c r="N42" s="212"/>
      <c r="O42" s="212"/>
      <c r="P42" s="261"/>
      <c r="Q42" s="212"/>
      <c r="R42" s="212"/>
      <c r="S42" s="212"/>
      <c r="T42" s="261"/>
      <c r="U42" s="212"/>
      <c r="V42" s="212"/>
      <c r="W42" s="212"/>
      <c r="X42" s="261"/>
      <c r="Y42" s="212"/>
      <c r="Z42" s="212"/>
      <c r="AA42" s="212"/>
      <c r="AB42" s="261"/>
      <c r="AC42" s="212"/>
      <c r="AD42" s="212"/>
      <c r="AE42" s="212"/>
      <c r="AF42" s="261"/>
      <c r="AG42" s="212"/>
      <c r="AH42" s="212"/>
      <c r="AI42" s="212"/>
      <c r="AJ42" s="261"/>
      <c r="AK42" s="212"/>
      <c r="AL42" s="248"/>
      <c r="AM42" s="212"/>
      <c r="AN42" s="212"/>
      <c r="AO42" s="212"/>
      <c r="AP42" s="212"/>
      <c r="AQ42" s="212"/>
      <c r="AR42" s="212"/>
      <c r="AS42" s="212"/>
      <c r="AT42" s="212"/>
      <c r="AU42" s="212"/>
    </row>
    <row r="43" spans="1:48" x14ac:dyDescent="0.15">
      <c r="B43" s="234" t="s">
        <v>22</v>
      </c>
      <c r="C43" s="212"/>
      <c r="D43" s="261"/>
      <c r="E43" s="212"/>
      <c r="F43" s="212"/>
      <c r="G43" s="212"/>
      <c r="H43" s="261"/>
      <c r="I43" s="212"/>
      <c r="J43" s="212"/>
      <c r="K43" s="212"/>
      <c r="L43" s="261"/>
      <c r="M43" s="212"/>
      <c r="N43" s="212"/>
      <c r="O43" s="212"/>
      <c r="P43" s="261"/>
      <c r="Q43" s="212"/>
      <c r="R43" s="212"/>
      <c r="S43" s="212"/>
      <c r="T43" s="261"/>
      <c r="U43" s="212"/>
      <c r="V43" s="212"/>
      <c r="W43" s="212"/>
      <c r="X43" s="261"/>
      <c r="Y43" s="212"/>
      <c r="Z43" s="212"/>
      <c r="AA43" s="212"/>
      <c r="AB43" s="261"/>
      <c r="AC43" s="212"/>
      <c r="AD43" s="212"/>
      <c r="AE43" s="212"/>
      <c r="AF43" s="261"/>
      <c r="AG43" s="212"/>
      <c r="AH43" s="212"/>
      <c r="AI43" s="212"/>
      <c r="AJ43" s="261"/>
      <c r="AK43" s="212"/>
      <c r="AL43" s="248"/>
      <c r="AM43" s="212"/>
      <c r="AN43" s="212"/>
      <c r="AO43" s="212"/>
      <c r="AP43" s="212"/>
      <c r="AQ43" s="212"/>
      <c r="AR43" s="212"/>
      <c r="AS43" s="212"/>
      <c r="AT43" s="212"/>
      <c r="AU43" s="212"/>
    </row>
    <row r="44" spans="1:48" ht="12" x14ac:dyDescent="0.15">
      <c r="B44" s="11" t="s">
        <v>354</v>
      </c>
      <c r="C44" s="247">
        <f>+'Nordnet by quarter (old)'!BI31</f>
        <v>669300</v>
      </c>
      <c r="D44" s="258">
        <f>+'Nordnet by quarter (old)'!BJ31</f>
        <v>698500</v>
      </c>
      <c r="E44" s="247">
        <f>+'Nordnet by quarter (old)'!BK31</f>
        <v>718000</v>
      </c>
      <c r="F44" s="247">
        <f>+'Nordnet by quarter (old)'!BL31</f>
        <v>741800</v>
      </c>
      <c r="G44" s="247">
        <f>+'Nordnet by quarter (old)'!BM31</f>
        <v>765200</v>
      </c>
      <c r="H44" s="258">
        <f>+'Nordnet by quarter (old)'!BN31</f>
        <v>794800</v>
      </c>
      <c r="I44" s="247">
        <f>+'Nordnet by quarter (old)'!BO31</f>
        <v>854800</v>
      </c>
      <c r="J44" s="247">
        <f>+'Nordnet by quarter (old)'!BP31</f>
        <v>882200</v>
      </c>
      <c r="K44" s="247">
        <f>+'Nordnet by quarter (old)'!BQ31</f>
        <v>913600</v>
      </c>
      <c r="L44" s="258">
        <f>+'Nordnet by quarter (old)'!BR31</f>
        <v>1002400</v>
      </c>
      <c r="M44" s="247">
        <f>+'Nordnet by quarter (old)'!BS31</f>
        <v>1069200</v>
      </c>
      <c r="N44" s="247">
        <v>1122900</v>
      </c>
      <c r="O44" s="247">
        <v>1221500</v>
      </c>
      <c r="P44" s="258">
        <v>1388700</v>
      </c>
      <c r="Q44" s="247">
        <v>1475300</v>
      </c>
      <c r="R44" s="247">
        <v>1537200</v>
      </c>
      <c r="S44" s="247">
        <v>1601000</v>
      </c>
      <c r="T44" s="258">
        <v>1618900</v>
      </c>
      <c r="U44" s="247">
        <v>1643000</v>
      </c>
      <c r="V44" s="247">
        <v>1677500</v>
      </c>
      <c r="W44" s="247">
        <v>1707800</v>
      </c>
      <c r="X44" s="258">
        <v>1751100</v>
      </c>
      <c r="Y44" s="247">
        <v>1786500</v>
      </c>
      <c r="Z44" s="247">
        <v>1824300</v>
      </c>
      <c r="AA44" s="247">
        <v>1862900</v>
      </c>
      <c r="AB44" s="258">
        <v>1921300</v>
      </c>
      <c r="AC44" s="247">
        <v>1975100</v>
      </c>
      <c r="AD44" s="247">
        <v>2049800</v>
      </c>
      <c r="AE44" s="247">
        <v>2096400</v>
      </c>
      <c r="AF44" s="258">
        <v>2165700</v>
      </c>
      <c r="AG44" s="247">
        <v>2222500</v>
      </c>
      <c r="AH44" s="247">
        <v>2291900</v>
      </c>
      <c r="AI44" s="247">
        <v>2351100</v>
      </c>
      <c r="AJ44" s="258">
        <v>2428600</v>
      </c>
      <c r="AK44" s="247">
        <v>2502200</v>
      </c>
      <c r="AL44" s="248"/>
      <c r="AM44" s="247">
        <f>+'Nordnet by quarter (old)'!CI31</f>
        <v>669300</v>
      </c>
      <c r="AN44" s="247">
        <f>+'Nordnet by quarter (old)'!CJ31</f>
        <v>765200</v>
      </c>
      <c r="AO44" s="247">
        <f>+'Nordnet by quarter (old)'!CK31</f>
        <v>913600</v>
      </c>
      <c r="AP44" s="247">
        <f>+O44</f>
        <v>1221500</v>
      </c>
      <c r="AQ44" s="247">
        <f>+S44</f>
        <v>1601000</v>
      </c>
      <c r="AR44" s="247">
        <f>+W44</f>
        <v>1707800</v>
      </c>
      <c r="AS44" s="247">
        <f>+AA44</f>
        <v>1862900</v>
      </c>
      <c r="AT44" s="247">
        <f>+AE44</f>
        <v>2096400</v>
      </c>
      <c r="AU44" s="247">
        <f>+AI44</f>
        <v>2351100</v>
      </c>
    </row>
    <row r="45" spans="1:48" ht="12" x14ac:dyDescent="0.15">
      <c r="B45" s="11" t="s">
        <v>355</v>
      </c>
      <c r="C45" s="247"/>
      <c r="D45" s="258">
        <f>+D44-C44</f>
        <v>29200</v>
      </c>
      <c r="E45" s="247">
        <f>+E44-D44</f>
        <v>19500</v>
      </c>
      <c r="F45" s="247">
        <f>+F44-E44</f>
        <v>23800</v>
      </c>
      <c r="G45" s="247">
        <f>+G44-F44</f>
        <v>23400</v>
      </c>
      <c r="H45" s="258">
        <f t="shared" ref="H45:R45" si="41">+H44-G44</f>
        <v>29600</v>
      </c>
      <c r="I45" s="247">
        <f>+I44-H44</f>
        <v>60000</v>
      </c>
      <c r="J45" s="247">
        <f t="shared" si="41"/>
        <v>27400</v>
      </c>
      <c r="K45" s="247">
        <f t="shared" si="41"/>
        <v>31400</v>
      </c>
      <c r="L45" s="258">
        <f t="shared" si="41"/>
        <v>88800</v>
      </c>
      <c r="M45" s="247">
        <f t="shared" si="41"/>
        <v>66800</v>
      </c>
      <c r="N45" s="247">
        <f t="shared" si="41"/>
        <v>53700</v>
      </c>
      <c r="O45" s="247">
        <f t="shared" si="41"/>
        <v>98600</v>
      </c>
      <c r="P45" s="258">
        <f t="shared" si="41"/>
        <v>167200</v>
      </c>
      <c r="Q45" s="247">
        <f t="shared" si="41"/>
        <v>86600</v>
      </c>
      <c r="R45" s="247">
        <f t="shared" si="41"/>
        <v>61900</v>
      </c>
      <c r="S45" s="247">
        <f t="shared" ref="S45:AH45" si="42">+S44-R44</f>
        <v>63800</v>
      </c>
      <c r="T45" s="258">
        <f t="shared" si="42"/>
        <v>17900</v>
      </c>
      <c r="U45" s="247">
        <f t="shared" si="42"/>
        <v>24100</v>
      </c>
      <c r="V45" s="247">
        <f t="shared" si="42"/>
        <v>34500</v>
      </c>
      <c r="W45" s="247">
        <f t="shared" si="42"/>
        <v>30300</v>
      </c>
      <c r="X45" s="258">
        <f t="shared" si="42"/>
        <v>43300</v>
      </c>
      <c r="Y45" s="247">
        <f t="shared" si="42"/>
        <v>35400</v>
      </c>
      <c r="Z45" s="247">
        <f t="shared" si="42"/>
        <v>37800</v>
      </c>
      <c r="AA45" s="247">
        <f t="shared" si="42"/>
        <v>38600</v>
      </c>
      <c r="AB45" s="258">
        <f t="shared" si="42"/>
        <v>58400</v>
      </c>
      <c r="AC45" s="247">
        <f t="shared" si="42"/>
        <v>53800</v>
      </c>
      <c r="AD45" s="247">
        <f t="shared" si="42"/>
        <v>74700</v>
      </c>
      <c r="AE45" s="247">
        <f t="shared" si="42"/>
        <v>46600</v>
      </c>
      <c r="AF45" s="258">
        <f t="shared" si="42"/>
        <v>69300</v>
      </c>
      <c r="AG45" s="247">
        <f t="shared" si="42"/>
        <v>56800</v>
      </c>
      <c r="AH45" s="247">
        <f t="shared" si="42"/>
        <v>69400</v>
      </c>
      <c r="AI45" s="247">
        <f t="shared" ref="AI45:AK45" si="43">+AI44-AH44</f>
        <v>59200</v>
      </c>
      <c r="AJ45" s="258">
        <f t="shared" si="43"/>
        <v>77500</v>
      </c>
      <c r="AK45" s="247">
        <f t="shared" si="43"/>
        <v>73600</v>
      </c>
      <c r="AL45" s="248"/>
      <c r="AM45" s="247">
        <f>+AM44-'Nordnet by quarter (old)'!CH31</f>
        <v>102500</v>
      </c>
      <c r="AN45" s="247">
        <f t="shared" ref="AN45:AU45" si="44">+AN44-AM44</f>
        <v>95900</v>
      </c>
      <c r="AO45" s="247">
        <f t="shared" si="44"/>
        <v>148400</v>
      </c>
      <c r="AP45" s="247">
        <f t="shared" si="44"/>
        <v>307900</v>
      </c>
      <c r="AQ45" s="247">
        <f t="shared" si="44"/>
        <v>379500</v>
      </c>
      <c r="AR45" s="247">
        <f t="shared" si="44"/>
        <v>106800</v>
      </c>
      <c r="AS45" s="247">
        <f t="shared" si="44"/>
        <v>155100</v>
      </c>
      <c r="AT45" s="247">
        <f t="shared" si="44"/>
        <v>233500</v>
      </c>
      <c r="AU45" s="247">
        <f t="shared" si="44"/>
        <v>254700</v>
      </c>
      <c r="AV45" s="308"/>
    </row>
    <row r="46" spans="1:48" ht="12" x14ac:dyDescent="0.15">
      <c r="B46" s="11" t="s">
        <v>364</v>
      </c>
      <c r="C46" s="250"/>
      <c r="D46" s="262"/>
      <c r="E46" s="250"/>
      <c r="F46" s="250"/>
      <c r="G46" s="250"/>
      <c r="H46" s="262">
        <f>+'Nordnet by quarter (old)'!BN31/'Nordnet by quarter (old)'!BJ31-1</f>
        <v>0.13786685755189687</v>
      </c>
      <c r="I46" s="250">
        <f>+'Nordnet by quarter (old)'!BO31/'Nordnet by quarter (old)'!BK31-1</f>
        <v>0.19052924791086356</v>
      </c>
      <c r="J46" s="250">
        <f>+'Nordnet by quarter (old)'!BP31/'Nordnet by quarter (old)'!BL31-1</f>
        <v>0.18926934483688318</v>
      </c>
      <c r="K46" s="250">
        <f>+K44/G44-1</f>
        <v>0.19393622582331416</v>
      </c>
      <c r="L46" s="262">
        <f t="shared" ref="L46:R46" si="45">+L44/H44-1</f>
        <v>0.2611977856064418</v>
      </c>
      <c r="M46" s="250">
        <f t="shared" si="45"/>
        <v>0.25081890500701909</v>
      </c>
      <c r="N46" s="250">
        <f t="shared" si="45"/>
        <v>0.27284062570845613</v>
      </c>
      <c r="O46" s="250">
        <f t="shared" si="45"/>
        <v>0.33701838879159363</v>
      </c>
      <c r="P46" s="262">
        <f t="shared" si="45"/>
        <v>0.38537509976057471</v>
      </c>
      <c r="Q46" s="250">
        <f t="shared" si="45"/>
        <v>0.37981668537224089</v>
      </c>
      <c r="R46" s="250">
        <f t="shared" si="45"/>
        <v>0.3689553833823136</v>
      </c>
      <c r="S46" s="250">
        <f>+S44/O44-1</f>
        <v>0.31068358575521904</v>
      </c>
      <c r="T46" s="262">
        <v>0.2</v>
      </c>
      <c r="U46" s="250">
        <v>0.15</v>
      </c>
      <c r="V46" s="250">
        <v>0.13</v>
      </c>
      <c r="W46" s="250">
        <v>0.1</v>
      </c>
      <c r="X46" s="262">
        <f>+X44/T44-1</f>
        <v>8.1660386682315123E-2</v>
      </c>
      <c r="Y46" s="250">
        <f>+Y44/U44-1</f>
        <v>8.7340231284236181E-2</v>
      </c>
      <c r="Z46" s="250">
        <f>+Z44/V44-1</f>
        <v>8.7511177347243008E-2</v>
      </c>
      <c r="AA46" s="250">
        <f>+AA44/W44-1</f>
        <v>9.0818597025412728E-2</v>
      </c>
      <c r="AB46" s="262">
        <f>+AB44/X44-1</f>
        <v>9.7196048198275431E-2</v>
      </c>
      <c r="AC46" s="250">
        <f t="shared" ref="AC46:AD46" si="46">+AC44/Y44-1</f>
        <v>0.10556954939826468</v>
      </c>
      <c r="AD46" s="250">
        <f t="shared" si="46"/>
        <v>0.12360905552814772</v>
      </c>
      <c r="AE46" s="250">
        <f>+(AE44+22800)/AA44-1</f>
        <v>0.13758119061678031</v>
      </c>
      <c r="AF46" s="262">
        <f>+(AF44+22800)/AB44-1</f>
        <v>0.1390725029927653</v>
      </c>
      <c r="AG46" s="296">
        <f>+(AG44+22800)/AC44-1</f>
        <v>0.13680319983798284</v>
      </c>
      <c r="AH46" s="296">
        <f>+(AH44+22800)/AD44-1</f>
        <v>0.12923212020684938</v>
      </c>
      <c r="AI46" s="296">
        <f>+(AI44)/AE44-1</f>
        <v>0.12149398969662273</v>
      </c>
      <c r="AJ46" s="269">
        <f>+(AJ44)/AF44-1</f>
        <v>0.1213926213233596</v>
      </c>
      <c r="AK46" s="300">
        <f>+(AK44)/AG44-1</f>
        <v>0.1258492688413948</v>
      </c>
      <c r="AL46" s="248"/>
      <c r="AM46" s="296">
        <f>+'Nordnet by quarter (old)'!CI31/'Nordnet by quarter (old)'!CH31-1</f>
        <v>0.18083980239943553</v>
      </c>
      <c r="AN46" s="296">
        <f>+AN45/AM44</f>
        <v>0.14328402808904825</v>
      </c>
      <c r="AO46" s="296">
        <f>+AO45/AN44</f>
        <v>0.19393622582331416</v>
      </c>
      <c r="AP46" s="296">
        <f>+AP45/AO44</f>
        <v>0.33701838879159368</v>
      </c>
      <c r="AQ46" s="296">
        <f>+AQ45/AP44</f>
        <v>0.31068358575521898</v>
      </c>
      <c r="AR46" s="296">
        <v>9.8900000000000002E-2</v>
      </c>
      <c r="AS46" s="296">
        <f>+AS45/AR44</f>
        <v>9.0818597025412812E-2</v>
      </c>
      <c r="AT46" s="296">
        <f>+(AT45+22800)/AS44</f>
        <v>0.13758119061678029</v>
      </c>
      <c r="AU46" s="250">
        <f>+AU45/AT44</f>
        <v>0.12149398969662278</v>
      </c>
    </row>
    <row r="47" spans="1:48" x14ac:dyDescent="0.15">
      <c r="B47" s="11" t="s">
        <v>24</v>
      </c>
      <c r="C47" s="248"/>
      <c r="D47" s="263">
        <f>+'Nordnet by quarter (old)'!BJ33</f>
        <v>11.5435530868046</v>
      </c>
      <c r="E47" s="248">
        <f>+'Nordnet by quarter (old)'!BK33</f>
        <v>5.6141017741788124</v>
      </c>
      <c r="F47" s="248">
        <f>+'Nordnet by quarter (old)'!BL33</f>
        <v>4.9135550205500014</v>
      </c>
      <c r="G47" s="248">
        <f>+'Nordnet by quarter (old)'!BM33</f>
        <v>1.4254724538999997</v>
      </c>
      <c r="H47" s="263">
        <f>+'Nordnet by quarter (old)'!BN33</f>
        <v>6.9880000000000004</v>
      </c>
      <c r="I47" s="248">
        <f>+'Nordnet by quarter (old)'!BO33</f>
        <v>2.4161161673299989</v>
      </c>
      <c r="J47" s="248">
        <f>+'Nordnet by quarter (old)'!BP33</f>
        <v>4.2078053343999997</v>
      </c>
      <c r="K47" s="248">
        <f>+'Nordnet by quarter (old)'!BQ33</f>
        <v>7.3114951804194854</v>
      </c>
      <c r="L47" s="263">
        <f>+'Nordnet by quarter (old)'!BR33</f>
        <v>23.834</v>
      </c>
      <c r="M47" s="248">
        <f>+'Nordnet by quarter (old)'!BS33</f>
        <v>13.4</v>
      </c>
      <c r="N47" s="248">
        <v>9.6999999999999993</v>
      </c>
      <c r="O47" s="248">
        <v>35.200000000000003</v>
      </c>
      <c r="P47" s="263">
        <v>27</v>
      </c>
      <c r="Q47" s="248">
        <v>22.4</v>
      </c>
      <c r="R47" s="248">
        <v>15.3</v>
      </c>
      <c r="S47" s="248">
        <v>18.7</v>
      </c>
      <c r="T47" s="263">
        <v>21.2</v>
      </c>
      <c r="U47" s="248">
        <v>8.3000000000000007</v>
      </c>
      <c r="V47" s="248">
        <v>5.8</v>
      </c>
      <c r="W47" s="248">
        <v>0.9</v>
      </c>
      <c r="X47" s="263">
        <v>7</v>
      </c>
      <c r="Y47" s="248">
        <v>7</v>
      </c>
      <c r="Z47" s="248">
        <v>10.9</v>
      </c>
      <c r="AA47" s="248">
        <v>9.8000000000000007</v>
      </c>
      <c r="AB47" s="263">
        <v>18.5</v>
      </c>
      <c r="AC47" s="248">
        <v>18.899999999999999</v>
      </c>
      <c r="AD47" s="248">
        <v>16.3</v>
      </c>
      <c r="AE47" s="248">
        <v>19.2</v>
      </c>
      <c r="AF47" s="263">
        <v>24.8</v>
      </c>
      <c r="AG47" s="248">
        <v>14.6</v>
      </c>
      <c r="AH47" s="248">
        <v>20.8</v>
      </c>
      <c r="AI47" s="248">
        <v>17.899999999999999</v>
      </c>
      <c r="AJ47" s="263">
        <v>28.8</v>
      </c>
      <c r="AK47" s="248">
        <v>26</v>
      </c>
      <c r="AL47" s="248"/>
      <c r="AM47" s="248">
        <v>17.330653999999999</v>
      </c>
      <c r="AN47" s="248">
        <v>23.496682335433412</v>
      </c>
      <c r="AO47" s="248">
        <f>SUM(H47:K47)</f>
        <v>20.923416682149483</v>
      </c>
      <c r="AP47" s="248">
        <f>SUM(L47:O47)</f>
        <v>82.134</v>
      </c>
      <c r="AQ47" s="248">
        <f>SUM(P47:S47)</f>
        <v>83.4</v>
      </c>
      <c r="AR47" s="248">
        <f>SUM(T47:W47)</f>
        <v>36.199999999999996</v>
      </c>
      <c r="AS47" s="248">
        <f>SUM(X47:AA47)</f>
        <v>34.700000000000003</v>
      </c>
      <c r="AT47" s="248">
        <f>SUM(AB47:AE47)</f>
        <v>72.900000000000006</v>
      </c>
      <c r="AU47" s="248">
        <f>SUM(AF47:AI47)</f>
        <v>78.099999999999994</v>
      </c>
    </row>
    <row r="48" spans="1:48" x14ac:dyDescent="0.15">
      <c r="B48" s="11" t="s">
        <v>177</v>
      </c>
      <c r="C48" s="250"/>
      <c r="D48" s="262"/>
      <c r="E48" s="250"/>
      <c r="F48" s="250"/>
      <c r="G48" s="250"/>
      <c r="H48" s="262">
        <f>+SUM('Nordnet by quarter (old)'!BK33:BN33)*1000/'Nordnet by quarter (old)'!BJ34</f>
        <v>6.5951007133108669E-2</v>
      </c>
      <c r="I48" s="250">
        <f>+SUM('Nordnet by quarter (old)'!BL33:BO33)*1000/'Nordnet by quarter (old)'!BK34</f>
        <v>5.0702556012173917E-2</v>
      </c>
      <c r="J48" s="250">
        <f>+SUM('Nordnet by quarter (old)'!BM33:BP33)*1000/'Nordnet by quarter (old)'!BL34</f>
        <v>4.6426038763908613E-2</v>
      </c>
      <c r="K48" s="250">
        <f t="shared" ref="K48:P48" si="47">+SUM(H47:K47)*1000/G58</f>
        <v>7.3286923580208344E-2</v>
      </c>
      <c r="L48" s="262">
        <f t="shared" si="47"/>
        <v>0.11675244724002931</v>
      </c>
      <c r="M48" s="250">
        <f t="shared" si="47"/>
        <v>0.13783799975917299</v>
      </c>
      <c r="N48" s="250">
        <f t="shared" si="47"/>
        <v>0.14853640520377731</v>
      </c>
      <c r="O48" s="250">
        <f t="shared" si="47"/>
        <v>0.2081977186311787</v>
      </c>
      <c r="P48" s="262">
        <f t="shared" si="47"/>
        <v>0.24034939419554807</v>
      </c>
      <c r="Q48" s="250">
        <f t="shared" ref="Q48:AK48" si="48">+SUM(N47:Q47)*1000/M58</f>
        <v>0.22209138012246823</v>
      </c>
      <c r="R48" s="250">
        <f t="shared" si="48"/>
        <v>0.2090832984512348</v>
      </c>
      <c r="S48" s="250">
        <f t="shared" si="48"/>
        <v>0.14763674986723313</v>
      </c>
      <c r="T48" s="262">
        <f t="shared" si="48"/>
        <v>0.11978266238577429</v>
      </c>
      <c r="U48" s="250">
        <f t="shared" si="48"/>
        <v>9.0282220800454963E-2</v>
      </c>
      <c r="V48" s="250">
        <f t="shared" si="48"/>
        <v>7.4172767605730536E-2</v>
      </c>
      <c r="W48" s="250">
        <f t="shared" si="48"/>
        <v>4.516024401502014E-2</v>
      </c>
      <c r="X48" s="262">
        <f t="shared" si="48"/>
        <v>2.8471593115051118E-2</v>
      </c>
      <c r="Y48" s="250">
        <f t="shared" si="48"/>
        <v>2.9951383261951615E-2</v>
      </c>
      <c r="Z48" s="250">
        <f t="shared" si="48"/>
        <v>3.7904386918579024E-2</v>
      </c>
      <c r="AA48" s="250">
        <f t="shared" si="48"/>
        <v>4.8543689320388349E-2</v>
      </c>
      <c r="AB48" s="262">
        <f t="shared" si="48"/>
        <v>6.0741519852747831E-2</v>
      </c>
      <c r="AC48" s="250">
        <f t="shared" si="48"/>
        <v>7.2796070766300805E-2</v>
      </c>
      <c r="AD48" s="250">
        <f t="shared" si="48"/>
        <v>8.0866996077632314E-2</v>
      </c>
      <c r="AE48" s="250">
        <f t="shared" si="48"/>
        <v>8.8390421339799935E-2</v>
      </c>
      <c r="AF48" s="262">
        <f t="shared" si="48"/>
        <v>8.7500276200366794E-2</v>
      </c>
      <c r="AG48" s="296">
        <f t="shared" si="48"/>
        <v>7.775113408696914E-2</v>
      </c>
      <c r="AH48" s="296">
        <f t="shared" si="48"/>
        <v>8.0267693769649914E-2</v>
      </c>
      <c r="AI48" s="296">
        <f t="shared" si="48"/>
        <v>7.5657034360499476E-2</v>
      </c>
      <c r="AJ48" s="262">
        <f t="shared" si="48"/>
        <v>8.3493506625580943E-2</v>
      </c>
      <c r="AK48" s="296">
        <f t="shared" si="48"/>
        <v>8.7888330121727684E-2</v>
      </c>
      <c r="AL48" s="248"/>
      <c r="AM48" s="296">
        <f>+'Nordnet by quarter (old)'!CI33*1000/'Nordnet by quarter (old)'!CH34</f>
        <v>7.3747463829787224E-2</v>
      </c>
      <c r="AN48" s="296">
        <f t="shared" ref="AN48:AU48" si="49">+AN47*1000/AM58</f>
        <v>8.6258011510401661E-2</v>
      </c>
      <c r="AO48" s="296">
        <f t="shared" si="49"/>
        <v>7.3286923580208344E-2</v>
      </c>
      <c r="AP48" s="296">
        <f t="shared" si="49"/>
        <v>0.2081977186311787</v>
      </c>
      <c r="AQ48" s="296">
        <f t="shared" si="49"/>
        <v>0.14763674986723313</v>
      </c>
      <c r="AR48" s="296">
        <f t="shared" si="49"/>
        <v>4.516024401502014E-2</v>
      </c>
      <c r="AS48" s="296">
        <f t="shared" si="49"/>
        <v>4.8543689320388349E-2</v>
      </c>
      <c r="AT48" s="296">
        <f t="shared" si="49"/>
        <v>8.8390421339799935E-2</v>
      </c>
      <c r="AU48" s="250">
        <f t="shared" si="49"/>
        <v>7.5657034360499476E-2</v>
      </c>
    </row>
    <row r="49" spans="2:47" x14ac:dyDescent="0.15">
      <c r="B49" s="11" t="s">
        <v>288</v>
      </c>
      <c r="C49" s="247"/>
      <c r="D49" s="258"/>
      <c r="E49" s="247"/>
      <c r="F49" s="247"/>
      <c r="G49" s="247"/>
      <c r="H49" s="258">
        <f>+ROUND(AVERAGE(D58:H58)/(AVERAGE(D44:H44)/1000000),-2)</f>
        <v>411600</v>
      </c>
      <c r="I49" s="247">
        <f t="shared" ref="I49:Q49" si="50">+ROUND(AVERAGE(E58:I58)/(AVERAGE(E44:I44)/1000000),-2)</f>
        <v>412200</v>
      </c>
      <c r="J49" s="247">
        <f t="shared" si="50"/>
        <v>409000</v>
      </c>
      <c r="K49" s="247">
        <f t="shared" si="50"/>
        <v>409100</v>
      </c>
      <c r="L49" s="258">
        <f t="shared" si="50"/>
        <v>402900</v>
      </c>
      <c r="M49" s="247">
        <f t="shared" si="50"/>
        <v>400900</v>
      </c>
      <c r="N49" s="247">
        <f t="shared" si="50"/>
        <v>404200</v>
      </c>
      <c r="O49" s="247">
        <f t="shared" si="50"/>
        <v>415900</v>
      </c>
      <c r="P49" s="258">
        <f t="shared" si="50"/>
        <v>425500</v>
      </c>
      <c r="Q49" s="247">
        <f t="shared" si="50"/>
        <v>449000</v>
      </c>
      <c r="R49" s="247">
        <f t="shared" ref="R49:W49" si="51">+ROUND(AVERAGE(N58:R58)/(AVERAGE(N44:R44)/1000000),-2)</f>
        <v>462800</v>
      </c>
      <c r="S49" s="247">
        <f t="shared" si="51"/>
        <v>477000</v>
      </c>
      <c r="T49" s="258">
        <f>+ROUND(AVERAGE(P58:T58)/(AVERAGE(P44:T44)/1000000),-2)</f>
        <v>479400</v>
      </c>
      <c r="U49" s="247">
        <f>+ROUND(AVERAGE(Q58:U58)/(AVERAGE(Q44:U44)/1000000),-2)</f>
        <v>469400</v>
      </c>
      <c r="V49" s="247">
        <f>+ROUND(AVERAGE(R58:V58)/(AVERAGE(R44:V44)/1000000),-2)</f>
        <v>454900</v>
      </c>
      <c r="W49" s="247">
        <f t="shared" si="51"/>
        <v>443800</v>
      </c>
      <c r="X49" s="258">
        <f>+ROUND(AVERAGE(T58:X58)/(AVERAGE(T44:X44)/1000000),-2)</f>
        <v>431000</v>
      </c>
      <c r="Y49" s="247">
        <f>+ROUND(AVERAGE(U58:Y58)/(AVERAGE(U44:Y44)/1000000),-2)</f>
        <v>425600</v>
      </c>
      <c r="Z49" s="247">
        <f>+ROUND(AVERAGE(V58:Z58)/(AVERAGE(V44:Z44)/1000000),-2)</f>
        <v>427500</v>
      </c>
      <c r="AA49" s="247">
        <f>+ROUND(AVERAGE(W58:AA58)/(AVERAGE(W44:AA44)/1000000),-2)</f>
        <v>434800</v>
      </c>
      <c r="AB49" s="258">
        <f>+ROUND(AVERAGE(X58:AB58)/(AVERAGE(X44:AB44)/1000000),-2)</f>
        <v>445400</v>
      </c>
      <c r="AC49" s="247">
        <f t="shared" ref="AC49:AK49" si="52">+ROUND(AVERAGE(Y58:AC58)/(AVERAGE(Y44:AC44)/1000000),-2)</f>
        <v>456400</v>
      </c>
      <c r="AD49" s="247">
        <f t="shared" si="52"/>
        <v>463800</v>
      </c>
      <c r="AE49" s="247">
        <f t="shared" si="52"/>
        <v>476000</v>
      </c>
      <c r="AF49" s="258">
        <f t="shared" si="52"/>
        <v>477400</v>
      </c>
      <c r="AG49" s="247">
        <f t="shared" si="52"/>
        <v>478800</v>
      </c>
      <c r="AH49" s="247">
        <f t="shared" si="52"/>
        <v>481400</v>
      </c>
      <c r="AI49" s="247">
        <f t="shared" si="52"/>
        <v>485700</v>
      </c>
      <c r="AJ49" s="258">
        <f t="shared" si="52"/>
        <v>487500</v>
      </c>
      <c r="AK49" s="247">
        <f t="shared" si="52"/>
        <v>506700</v>
      </c>
      <c r="AL49" s="248"/>
      <c r="AM49" s="247">
        <f>+AVERAGE('Nordnet by quarter (old)'!BE34:BI34)*1000000/AVERAGE('Nordnet by quarter (old)'!BE31:BI31)</f>
        <v>414860.63017465977</v>
      </c>
      <c r="AN49" s="247">
        <f>+ROUND(AVERAGE('Nordnet by quarter (old)'!BI34:BM34)*1000000/AVERAGE('Nordnet by quarter (old)'!BI31:BM31),-2)</f>
        <v>411800</v>
      </c>
      <c r="AO49" s="247">
        <f>+K49</f>
        <v>409100</v>
      </c>
      <c r="AP49" s="247">
        <f>+O49</f>
        <v>415900</v>
      </c>
      <c r="AQ49" s="247">
        <f>+S49</f>
        <v>477000</v>
      </c>
      <c r="AR49" s="247">
        <f>+W49</f>
        <v>443800</v>
      </c>
      <c r="AS49" s="247">
        <f>+AA49</f>
        <v>434800</v>
      </c>
      <c r="AT49" s="247">
        <f>+AE49</f>
        <v>476000</v>
      </c>
      <c r="AU49" s="247">
        <f>+AI49</f>
        <v>485700</v>
      </c>
    </row>
    <row r="50" spans="2:47" x14ac:dyDescent="0.15">
      <c r="B50" s="11" t="s">
        <v>25</v>
      </c>
      <c r="C50" s="247"/>
      <c r="D50" s="258"/>
      <c r="E50" s="247"/>
      <c r="F50" s="247"/>
      <c r="G50" s="247"/>
      <c r="H50" s="258">
        <f t="shared" ref="H50:AK50" si="53">+H15*1000000/AVERAGE(G44:H44)*4</f>
        <v>1751.7380336805302</v>
      </c>
      <c r="I50" s="247">
        <f t="shared" si="53"/>
        <v>1815.4999373952633</v>
      </c>
      <c r="J50" s="247">
        <f t="shared" si="53"/>
        <v>1729.0529129484557</v>
      </c>
      <c r="K50" s="247">
        <f t="shared" si="53"/>
        <v>1925.1202377461098</v>
      </c>
      <c r="L50" s="258">
        <f t="shared" si="53"/>
        <v>2703.5089569789352</v>
      </c>
      <c r="M50" s="247">
        <f t="shared" si="53"/>
        <v>2519.7558947857351</v>
      </c>
      <c r="N50" s="247">
        <f t="shared" si="53"/>
        <v>2260.0615687640793</v>
      </c>
      <c r="O50" s="247">
        <f t="shared" si="53"/>
        <v>2625.0629438954534</v>
      </c>
      <c r="P50" s="258">
        <f t="shared" si="53"/>
        <v>3420.6911347789514</v>
      </c>
      <c r="Q50" s="247">
        <f t="shared" si="53"/>
        <v>2325.7709497206747</v>
      </c>
      <c r="R50" s="247">
        <f t="shared" si="53"/>
        <v>2117.4439834025006</v>
      </c>
      <c r="S50" s="247">
        <f t="shared" si="53"/>
        <v>2275.0646867631067</v>
      </c>
      <c r="T50" s="258">
        <f t="shared" si="53"/>
        <v>2212.3792664368361</v>
      </c>
      <c r="U50" s="247">
        <f t="shared" si="53"/>
        <v>1785.0464060786003</v>
      </c>
      <c r="V50" s="247">
        <f t="shared" si="53"/>
        <v>1956.054811022515</v>
      </c>
      <c r="W50" s="247">
        <f t="shared" si="53"/>
        <v>2249.528254512159</v>
      </c>
      <c r="X50" s="258">
        <f t="shared" si="53"/>
        <v>2623.2732949781703</v>
      </c>
      <c r="Y50" s="247">
        <f t="shared" si="53"/>
        <v>2422.3111714157521</v>
      </c>
      <c r="Z50" s="247">
        <f t="shared" si="53"/>
        <v>2560.031018145562</v>
      </c>
      <c r="AA50" s="247">
        <f t="shared" si="53"/>
        <v>2580.8179648513769</v>
      </c>
      <c r="AB50" s="258">
        <f t="shared" si="53"/>
        <v>2670.6220601448154</v>
      </c>
      <c r="AC50" s="247">
        <f t="shared" si="53"/>
        <v>2646.1205239622745</v>
      </c>
      <c r="AD50" s="247">
        <f t="shared" si="53"/>
        <v>2436.578300081992</v>
      </c>
      <c r="AE50" s="247">
        <f t="shared" si="53"/>
        <v>2539.2330133616329</v>
      </c>
      <c r="AF50" s="258">
        <f t="shared" si="53"/>
        <v>2621.2280331292118</v>
      </c>
      <c r="AG50" s="247">
        <f t="shared" si="53"/>
        <v>2356.8898409370609</v>
      </c>
      <c r="AH50" s="247">
        <f t="shared" si="53"/>
        <v>2318.2376575213425</v>
      </c>
      <c r="AI50" s="247">
        <f t="shared" si="53"/>
        <v>2396.9088923196173</v>
      </c>
      <c r="AJ50" s="258">
        <f t="shared" si="53"/>
        <v>2485.3986748663096</v>
      </c>
      <c r="AK50" s="247">
        <f t="shared" si="53"/>
        <v>2650.9191206295181</v>
      </c>
      <c r="AL50" s="248"/>
      <c r="AM50" s="247">
        <f>+AM15*1000000/AVERAGE('Nordnet by quarter (old)'!CH$31:CI$31)</f>
        <v>2035.6411293584661</v>
      </c>
      <c r="AN50" s="247">
        <f>+AN15*1000000/AVERAGE(AM44:AN44)</f>
        <v>1853.3454165214364</v>
      </c>
      <c r="AO50" s="247">
        <f t="shared" ref="AO50:AU50" si="54">+IFERROR(AO15*1000000/AVERAGE(AN44:AO44),0)</f>
        <v>1814.9952141417657</v>
      </c>
      <c r="AP50" s="247">
        <f t="shared" si="54"/>
        <v>2518.4216200372362</v>
      </c>
      <c r="AQ50" s="247">
        <f t="shared" si="54"/>
        <v>2578.2200177147961</v>
      </c>
      <c r="AR50" s="247">
        <f t="shared" si="54"/>
        <v>2044.2978475571224</v>
      </c>
      <c r="AS50" s="247">
        <f t="shared" si="54"/>
        <v>2548.6991346458917</v>
      </c>
      <c r="AT50" s="247">
        <f t="shared" si="54"/>
        <v>2573.1609078351371</v>
      </c>
      <c r="AU50" s="247">
        <f t="shared" si="54"/>
        <v>2423.2006783673046</v>
      </c>
    </row>
    <row r="51" spans="2:47" x14ac:dyDescent="0.15">
      <c r="B51" s="11" t="s">
        <v>26</v>
      </c>
      <c r="C51" s="247"/>
      <c r="D51" s="258"/>
      <c r="E51" s="247"/>
      <c r="F51" s="247"/>
      <c r="G51" s="247"/>
      <c r="H51" s="258">
        <f t="shared" ref="H51:AK51" si="55">+H21*1000000/AVERAGE(G44:H44)*4</f>
        <v>-1336.7076923076925</v>
      </c>
      <c r="I51" s="247">
        <f t="shared" si="55"/>
        <v>-1307.9291949563531</v>
      </c>
      <c r="J51" s="247">
        <f t="shared" si="55"/>
        <v>-1250.9015544041451</v>
      </c>
      <c r="K51" s="247">
        <f t="shared" si="55"/>
        <v>-1315.0016705646508</v>
      </c>
      <c r="L51" s="258">
        <f t="shared" si="55"/>
        <v>-1081.081419624217</v>
      </c>
      <c r="M51" s="247">
        <f t="shared" si="55"/>
        <v>-1004.6534079938211</v>
      </c>
      <c r="N51" s="247">
        <f t="shared" si="55"/>
        <v>-942.12125359244567</v>
      </c>
      <c r="O51" s="247">
        <f t="shared" si="55"/>
        <v>-978.9523972018427</v>
      </c>
      <c r="P51" s="258">
        <f t="shared" si="55"/>
        <v>-857.91740096544322</v>
      </c>
      <c r="Q51" s="247">
        <f t="shared" si="55"/>
        <v>-791.7793296089385</v>
      </c>
      <c r="R51" s="247">
        <f t="shared" si="55"/>
        <v>-738.67419087136943</v>
      </c>
      <c r="S51" s="247">
        <f t="shared" si="55"/>
        <v>-763.25282008794852</v>
      </c>
      <c r="T51" s="258">
        <f t="shared" si="55"/>
        <v>-738.16950836982517</v>
      </c>
      <c r="U51" s="247">
        <f t="shared" si="55"/>
        <v>-725.23621202366724</v>
      </c>
      <c r="V51" s="247">
        <f t="shared" si="55"/>
        <v>-731.28504743261556</v>
      </c>
      <c r="W51" s="247">
        <f t="shared" si="55"/>
        <v>-741.83322009866185</v>
      </c>
      <c r="X51" s="258">
        <f t="shared" si="55"/>
        <v>-740.53600855763375</v>
      </c>
      <c r="Y51" s="247">
        <f t="shared" si="55"/>
        <v>-725.30529172320212</v>
      </c>
      <c r="Z51" s="247">
        <f t="shared" si="55"/>
        <v>-718.32059377423286</v>
      </c>
      <c r="AA51" s="247">
        <f t="shared" si="55"/>
        <v>-725.96875678021263</v>
      </c>
      <c r="AB51" s="258">
        <f t="shared" si="55"/>
        <v>-746.7195179958776</v>
      </c>
      <c r="AC51" s="247">
        <f t="shared" si="55"/>
        <v>-724.21517298018682</v>
      </c>
      <c r="AD51" s="247">
        <f t="shared" si="55"/>
        <v>-710.92250739148801</v>
      </c>
      <c r="AE51" s="247">
        <f t="shared" si="55"/>
        <v>-755.26356663933234</v>
      </c>
      <c r="AF51" s="258">
        <f t="shared" si="55"/>
        <v>-763.21062387086181</v>
      </c>
      <c r="AG51" s="247">
        <f t="shared" si="55"/>
        <v>-723.83391823526745</v>
      </c>
      <c r="AH51" s="247">
        <f t="shared" si="55"/>
        <v>-714.37178805599854</v>
      </c>
      <c r="AI51" s="247">
        <f t="shared" si="55"/>
        <v>-728.9545552444539</v>
      </c>
      <c r="AJ51" s="258">
        <f t="shared" si="55"/>
        <v>-733.98414126409602</v>
      </c>
      <c r="AK51" s="247">
        <f t="shared" si="55"/>
        <v>-713.85251886103686</v>
      </c>
      <c r="AL51" s="248"/>
      <c r="AM51" s="247">
        <f>+AM21*1000000/AVERAGE('Nordnet by quarter (old)'!CH$31:CI$31)</f>
        <v>-1558.9806649947416</v>
      </c>
      <c r="AN51" s="247">
        <f t="shared" ref="AN51:AU51" si="56">+AN21*1000000/AVERAGE(AM44:AN44)</f>
        <v>-1557.8096897873825</v>
      </c>
      <c r="AO51" s="247">
        <f t="shared" si="56"/>
        <v>-1307.0526566595183</v>
      </c>
      <c r="AP51" s="247">
        <f t="shared" si="56"/>
        <v>-996.77673176900373</v>
      </c>
      <c r="AQ51" s="247">
        <f t="shared" si="56"/>
        <v>-808.45775022143494</v>
      </c>
      <c r="AR51" s="247">
        <f t="shared" si="56"/>
        <v>-731.53711315280464</v>
      </c>
      <c r="AS51" s="247">
        <f t="shared" si="56"/>
        <v>-727.99339065169306</v>
      </c>
      <c r="AT51" s="247">
        <f t="shared" si="56"/>
        <v>-735.0057964791755</v>
      </c>
      <c r="AU51" s="247">
        <f t="shared" si="56"/>
        <v>-732.92321528948844</v>
      </c>
    </row>
    <row r="52" spans="2:47" x14ac:dyDescent="0.15">
      <c r="B52" s="11" t="s">
        <v>27</v>
      </c>
      <c r="C52" s="247"/>
      <c r="D52" s="258"/>
      <c r="E52" s="247"/>
      <c r="F52" s="247"/>
      <c r="G52" s="247"/>
      <c r="H52" s="258">
        <f>+H25*1000000/AVERAGE(G44:H44)*4</f>
        <v>355.80982855232503</v>
      </c>
      <c r="I52" s="247">
        <f>+I25*1000000/AVERAGE(H44:I44)*4</f>
        <v>435.4708394321205</v>
      </c>
      <c r="J52" s="247">
        <f t="shared" ref="J52:R52" si="57">+J25*1000000/AVERAGE(I44:J44)*4</f>
        <v>434.57277477919854</v>
      </c>
      <c r="K52" s="247">
        <f t="shared" si="57"/>
        <v>549.13182032768896</v>
      </c>
      <c r="L52" s="258">
        <f t="shared" si="57"/>
        <v>1532.8659507158873</v>
      </c>
      <c r="M52" s="247">
        <f t="shared" si="57"/>
        <v>1467.9968679465771</v>
      </c>
      <c r="N52" s="247">
        <f t="shared" si="57"/>
        <v>1297.6091259010709</v>
      </c>
      <c r="O52" s="247">
        <f t="shared" si="57"/>
        <v>1614.3992346308228</v>
      </c>
      <c r="P52" s="258">
        <f t="shared" si="57"/>
        <v>2542.5239445253305</v>
      </c>
      <c r="Q52" s="247">
        <f t="shared" si="57"/>
        <v>1496.3659217877139</v>
      </c>
      <c r="R52" s="247">
        <f t="shared" si="57"/>
        <v>1348.5941908713803</v>
      </c>
      <c r="S52" s="247">
        <f>+S25*1000000/AVERAGE(R44:S44)*4</f>
        <v>1473.6524122108158</v>
      </c>
      <c r="T52" s="258">
        <f>+T25*1000000/AVERAGE(S44:T44)*4</f>
        <v>1441.4360694431407</v>
      </c>
      <c r="U52" s="247">
        <f>+U25*1000000/AVERAGE(T44:U44)*4</f>
        <v>1030.3187688119765</v>
      </c>
      <c r="V52" s="247">
        <f>+V25*1000000/AVERAGE(U44:V44)*4</f>
        <v>1183.6578828490472</v>
      </c>
      <c r="W52" s="247">
        <f t="shared" ref="W52:AK52" si="58">+W25*1000000/AVERAGE(V44:W44)*4</f>
        <v>1474.1310962100881</v>
      </c>
      <c r="X52" s="258">
        <f t="shared" si="58"/>
        <v>1836.8891844227912</v>
      </c>
      <c r="Y52" s="247">
        <f t="shared" si="58"/>
        <v>1649.4934418816049</v>
      </c>
      <c r="Z52" s="247">
        <f t="shared" si="58"/>
        <v>1787.2670877146325</v>
      </c>
      <c r="AA52" s="247">
        <f t="shared" si="58"/>
        <v>1800.958993274028</v>
      </c>
      <c r="AB52" s="258">
        <f t="shared" si="58"/>
        <v>1869.863115057346</v>
      </c>
      <c r="AC52" s="247">
        <f t="shared" si="58"/>
        <v>1856.6923338380573</v>
      </c>
      <c r="AD52" s="247">
        <f t="shared" si="58"/>
        <v>1693.0984620735942</v>
      </c>
      <c r="AE52" s="247">
        <f t="shared" si="58"/>
        <v>1773.8304082388699</v>
      </c>
      <c r="AF52" s="258">
        <f t="shared" si="58"/>
        <v>1849.7454306562522</v>
      </c>
      <c r="AG52" s="247">
        <f t="shared" si="58"/>
        <v>1627.5557176063101</v>
      </c>
      <c r="AH52" s="247">
        <f t="shared" si="58"/>
        <v>1602.3843879838628</v>
      </c>
      <c r="AI52" s="247">
        <f t="shared" si="58"/>
        <v>1663.9086769416292</v>
      </c>
      <c r="AJ52" s="258">
        <f t="shared" si="58"/>
        <v>1744.6592979179652</v>
      </c>
      <c r="AK52" s="247">
        <f t="shared" si="58"/>
        <v>1931.4042346069662</v>
      </c>
      <c r="AL52" s="248"/>
      <c r="AM52" s="247">
        <f>+AM25*1000000/AVERAGE('Nordnet by quarter (old)'!CH$31:CI$31)</f>
        <v>396.7429819593882</v>
      </c>
      <c r="AN52" s="247">
        <f t="shared" ref="AN52:AU52" si="59">+AN25*1000000/AVERAGE(AM44:AN44)</f>
        <v>218.99337748344382</v>
      </c>
      <c r="AO52" s="247">
        <f t="shared" si="59"/>
        <v>448.89204521157762</v>
      </c>
      <c r="AP52" s="247">
        <f t="shared" si="59"/>
        <v>1476.2025202292648</v>
      </c>
      <c r="AQ52" s="247">
        <f t="shared" si="59"/>
        <v>1736.8772364924755</v>
      </c>
      <c r="AR52" s="247">
        <f t="shared" si="59"/>
        <v>1278.6198011354588</v>
      </c>
      <c r="AS52" s="247">
        <f t="shared" si="59"/>
        <v>1770.1587924160769</v>
      </c>
      <c r="AT52" s="247">
        <f t="shared" si="59"/>
        <v>1798.2698739806676</v>
      </c>
      <c r="AU52" s="247">
        <f t="shared" si="59"/>
        <v>1685.5071426730944</v>
      </c>
    </row>
    <row r="53" spans="2:47" x14ac:dyDescent="0.15">
      <c r="D53" s="257"/>
      <c r="H53" s="257"/>
      <c r="L53" s="257"/>
      <c r="P53" s="257"/>
      <c r="T53" s="257"/>
      <c r="X53" s="257"/>
      <c r="AB53" s="257"/>
      <c r="AF53" s="257"/>
      <c r="AJ53" s="270"/>
      <c r="AL53" s="248"/>
    </row>
    <row r="54" spans="2:47" x14ac:dyDescent="0.15">
      <c r="B54" s="238" t="s">
        <v>28</v>
      </c>
      <c r="D54" s="257"/>
      <c r="H54" s="257"/>
      <c r="L54" s="257"/>
      <c r="P54" s="257"/>
      <c r="T54" s="257"/>
      <c r="X54" s="257"/>
      <c r="AB54" s="257"/>
      <c r="AF54" s="257"/>
      <c r="AJ54" s="271"/>
      <c r="AL54" s="248"/>
    </row>
    <row r="55" spans="2:47" x14ac:dyDescent="0.15">
      <c r="B55" s="6" t="s">
        <v>29</v>
      </c>
      <c r="C55" s="247">
        <v>178758.8</v>
      </c>
      <c r="D55" s="258"/>
      <c r="E55" s="247"/>
      <c r="F55" s="247"/>
      <c r="G55" s="247">
        <v>185277.15400000001</v>
      </c>
      <c r="H55" s="258">
        <v>216350.212</v>
      </c>
      <c r="I55" s="247">
        <v>237984.06299999999</v>
      </c>
      <c r="J55" s="247">
        <v>244499.59399999998</v>
      </c>
      <c r="K55" s="247">
        <v>267988.32299999997</v>
      </c>
      <c r="L55" s="258">
        <v>223168.68799999999</v>
      </c>
      <c r="M55" s="247">
        <v>283510.3</v>
      </c>
      <c r="N55" s="247">
        <v>329055.46999999997</v>
      </c>
      <c r="O55" s="247">
        <v>404420</v>
      </c>
      <c r="P55" s="258">
        <v>464960</v>
      </c>
      <c r="Q55" s="247">
        <v>505810</v>
      </c>
      <c r="R55" s="247">
        <v>517270</v>
      </c>
      <c r="S55" s="247">
        <v>573380</v>
      </c>
      <c r="T55" s="258">
        <v>547190</v>
      </c>
      <c r="U55" s="247">
        <v>473150</v>
      </c>
      <c r="V55" s="247">
        <v>461640</v>
      </c>
      <c r="W55" s="247">
        <v>489810</v>
      </c>
      <c r="X55" s="258">
        <v>533000</v>
      </c>
      <c r="Y55" s="247">
        <v>557010</v>
      </c>
      <c r="Z55" s="247">
        <v>545080</v>
      </c>
      <c r="AA55" s="247">
        <v>573490</v>
      </c>
      <c r="AB55" s="258">
        <v>627790</v>
      </c>
      <c r="AC55" s="247">
        <v>666490</v>
      </c>
      <c r="AD55" s="247">
        <v>678850</v>
      </c>
      <c r="AE55" s="247">
        <v>703690</v>
      </c>
      <c r="AF55" s="258">
        <v>660340</v>
      </c>
      <c r="AG55" s="247">
        <v>720560</v>
      </c>
      <c r="AH55" s="247">
        <v>779170</v>
      </c>
      <c r="AI55" s="247">
        <v>801960</v>
      </c>
      <c r="AJ55" s="258">
        <v>810110</v>
      </c>
      <c r="AK55" s="247">
        <v>920710</v>
      </c>
      <c r="AL55" s="248"/>
      <c r="AM55" s="247">
        <v>178758.8</v>
      </c>
      <c r="AN55" s="247">
        <v>185277.15400000001</v>
      </c>
      <c r="AO55" s="247">
        <v>267988.32299999997</v>
      </c>
      <c r="AP55" s="247">
        <f>+O55</f>
        <v>404420</v>
      </c>
      <c r="AQ55" s="247">
        <f>+S55</f>
        <v>573380</v>
      </c>
      <c r="AR55" s="247">
        <f>+W55</f>
        <v>489810</v>
      </c>
      <c r="AS55" s="247">
        <f>+AA55</f>
        <v>573490</v>
      </c>
      <c r="AT55" s="247">
        <f>+AE55</f>
        <v>703690</v>
      </c>
      <c r="AU55" s="247">
        <f>+AI55</f>
        <v>801960</v>
      </c>
    </row>
    <row r="56" spans="2:47" x14ac:dyDescent="0.15">
      <c r="B56" s="6" t="s">
        <v>30</v>
      </c>
      <c r="C56" s="247">
        <v>59300</v>
      </c>
      <c r="D56" s="258"/>
      <c r="E56" s="247"/>
      <c r="F56" s="247"/>
      <c r="G56" s="247">
        <v>57200</v>
      </c>
      <c r="H56" s="258">
        <v>65900</v>
      </c>
      <c r="I56" s="247">
        <v>71300</v>
      </c>
      <c r="J56" s="247">
        <v>75600</v>
      </c>
      <c r="K56" s="247">
        <v>81500</v>
      </c>
      <c r="L56" s="258">
        <v>64700</v>
      </c>
      <c r="M56" s="247">
        <v>79300</v>
      </c>
      <c r="N56" s="247">
        <v>88200</v>
      </c>
      <c r="O56" s="247">
        <v>100150</v>
      </c>
      <c r="P56" s="258">
        <v>117840</v>
      </c>
      <c r="Q56" s="247">
        <v>130730</v>
      </c>
      <c r="R56" s="247">
        <v>138170</v>
      </c>
      <c r="S56" s="247">
        <v>153740</v>
      </c>
      <c r="T56" s="258">
        <v>144980</v>
      </c>
      <c r="U56" s="247">
        <v>132850</v>
      </c>
      <c r="V56" s="247">
        <v>130590</v>
      </c>
      <c r="W56" s="247">
        <v>143860</v>
      </c>
      <c r="X56" s="258">
        <v>154100</v>
      </c>
      <c r="Y56" s="247">
        <v>168600</v>
      </c>
      <c r="Z56" s="247">
        <v>170270</v>
      </c>
      <c r="AA56" s="247">
        <v>183860</v>
      </c>
      <c r="AB56" s="258">
        <v>211680</v>
      </c>
      <c r="AC56" s="247">
        <v>228910</v>
      </c>
      <c r="AD56" s="247">
        <v>241080</v>
      </c>
      <c r="AE56" s="247">
        <v>258560</v>
      </c>
      <c r="AF56" s="258">
        <v>244210</v>
      </c>
      <c r="AG56" s="247">
        <v>260190</v>
      </c>
      <c r="AH56" s="247">
        <v>282190</v>
      </c>
      <c r="AI56" s="247">
        <v>296830</v>
      </c>
      <c r="AJ56" s="258">
        <v>306560</v>
      </c>
      <c r="AK56" s="247">
        <v>358500</v>
      </c>
      <c r="AL56" s="248"/>
      <c r="AM56" s="247">
        <v>59300</v>
      </c>
      <c r="AN56" s="247">
        <v>57200</v>
      </c>
      <c r="AO56" s="247">
        <v>81500</v>
      </c>
      <c r="AP56" s="247">
        <f>+O56</f>
        <v>100150</v>
      </c>
      <c r="AQ56" s="247">
        <f>+S56</f>
        <v>153740</v>
      </c>
      <c r="AR56" s="247">
        <f>+W56</f>
        <v>143860</v>
      </c>
      <c r="AS56" s="247">
        <f>+AA56</f>
        <v>183860</v>
      </c>
      <c r="AT56" s="247">
        <f>+AE56</f>
        <v>258560</v>
      </c>
      <c r="AU56" s="247">
        <f>+AI56</f>
        <v>296830</v>
      </c>
    </row>
    <row r="57" spans="2:47" x14ac:dyDescent="0.15">
      <c r="B57" s="6" t="s">
        <v>31</v>
      </c>
      <c r="C57" s="247">
        <v>34341.199999999997</v>
      </c>
      <c r="D57" s="258"/>
      <c r="E57" s="247"/>
      <c r="F57" s="247"/>
      <c r="G57" s="247">
        <f>+'Nordnet by quarter (old)'!BM40</f>
        <v>43022.845999999998</v>
      </c>
      <c r="H57" s="258">
        <v>41249.788</v>
      </c>
      <c r="I57" s="247">
        <v>44415.936999999998</v>
      </c>
      <c r="J57" s="247">
        <v>45100.406000000003</v>
      </c>
      <c r="K57" s="247">
        <v>45011.677000000003</v>
      </c>
      <c r="L57" s="258">
        <v>67031.312000000005</v>
      </c>
      <c r="M57" s="247">
        <v>61789.7</v>
      </c>
      <c r="N57" s="247">
        <v>60544.53</v>
      </c>
      <c r="O57" s="247">
        <v>60330</v>
      </c>
      <c r="P57" s="258">
        <v>65040</v>
      </c>
      <c r="Q57" s="247">
        <v>66810</v>
      </c>
      <c r="R57" s="247">
        <v>72590</v>
      </c>
      <c r="S57" s="247">
        <v>74470</v>
      </c>
      <c r="T57" s="258">
        <v>80530</v>
      </c>
      <c r="U57" s="247">
        <v>85120</v>
      </c>
      <c r="V57" s="247">
        <v>88430</v>
      </c>
      <c r="W57" s="247">
        <v>81150</v>
      </c>
      <c r="X57" s="258">
        <v>73500</v>
      </c>
      <c r="Y57" s="247">
        <v>72510</v>
      </c>
      <c r="Z57" s="247">
        <v>69890</v>
      </c>
      <c r="AA57" s="247">
        <v>67400</v>
      </c>
      <c r="AB57" s="258">
        <v>65670</v>
      </c>
      <c r="AC57" s="247">
        <v>67930</v>
      </c>
      <c r="AD57" s="247">
        <v>69260</v>
      </c>
      <c r="AE57" s="247">
        <v>70040</v>
      </c>
      <c r="AF57" s="258">
        <v>78760</v>
      </c>
      <c r="AG57" s="247">
        <v>83100</v>
      </c>
      <c r="AH57" s="247">
        <v>81240</v>
      </c>
      <c r="AI57" s="247">
        <v>84090</v>
      </c>
      <c r="AJ57" s="258">
        <v>97240</v>
      </c>
      <c r="AK57" s="247">
        <v>95240</v>
      </c>
      <c r="AL57" s="248"/>
      <c r="AM57" s="247">
        <v>34341.199999999997</v>
      </c>
      <c r="AN57" s="247">
        <v>43022.845999999998</v>
      </c>
      <c r="AO57" s="247">
        <v>45011.677000000003</v>
      </c>
      <c r="AP57" s="247">
        <f>+O57</f>
        <v>60330</v>
      </c>
      <c r="AQ57" s="247">
        <f>+S57</f>
        <v>74470</v>
      </c>
      <c r="AR57" s="247">
        <f>+W57</f>
        <v>81150</v>
      </c>
      <c r="AS57" s="247">
        <f>+AA57</f>
        <v>67400</v>
      </c>
      <c r="AT57" s="247">
        <f>+AE57</f>
        <v>70040</v>
      </c>
      <c r="AU57" s="247">
        <f>+AI57</f>
        <v>84090</v>
      </c>
    </row>
    <row r="58" spans="2:47" x14ac:dyDescent="0.15">
      <c r="B58" s="2" t="s">
        <v>32</v>
      </c>
      <c r="C58" s="249">
        <f>+'Nordnet by quarter (old)'!BI34</f>
        <v>272400</v>
      </c>
      <c r="D58" s="259">
        <f>+'Nordnet by quarter (old)'!BJ34</f>
        <v>287200</v>
      </c>
      <c r="E58" s="249">
        <f>+'Nordnet by quarter (old)'!BK34</f>
        <v>310500</v>
      </c>
      <c r="F58" s="249">
        <f>+'Nordnet by quarter (old)'!BL34</f>
        <v>323900</v>
      </c>
      <c r="G58" s="249">
        <f>+'Nordnet by quarter (old)'!BM34</f>
        <v>285500</v>
      </c>
      <c r="H58" s="259">
        <f t="shared" ref="H58:S58" si="60">SUM(H55:H57)</f>
        <v>323500</v>
      </c>
      <c r="I58" s="249">
        <f t="shared" si="60"/>
        <v>353699.99999999994</v>
      </c>
      <c r="J58" s="249">
        <f t="shared" si="60"/>
        <v>365200</v>
      </c>
      <c r="K58" s="249">
        <f t="shared" si="60"/>
        <v>394500</v>
      </c>
      <c r="L58" s="259">
        <f t="shared" si="60"/>
        <v>354900</v>
      </c>
      <c r="M58" s="249">
        <f t="shared" si="60"/>
        <v>424600</v>
      </c>
      <c r="N58" s="249">
        <f t="shared" si="60"/>
        <v>477800</v>
      </c>
      <c r="O58" s="249">
        <f t="shared" si="60"/>
        <v>564900</v>
      </c>
      <c r="P58" s="259">
        <f t="shared" si="60"/>
        <v>647840</v>
      </c>
      <c r="Q58" s="249">
        <f t="shared" si="60"/>
        <v>703350</v>
      </c>
      <c r="R58" s="249">
        <f t="shared" si="60"/>
        <v>728030</v>
      </c>
      <c r="S58" s="249">
        <f t="shared" si="60"/>
        <v>801590</v>
      </c>
      <c r="T58" s="259">
        <v>772700</v>
      </c>
      <c r="U58" s="249">
        <f>SUM(U55:U57)</f>
        <v>691120</v>
      </c>
      <c r="V58" s="249">
        <f>SUM(V55:V57)</f>
        <v>680660</v>
      </c>
      <c r="W58" s="249">
        <f t="shared" ref="W58:AK58" si="61">SUM(W55:W57)</f>
        <v>714820</v>
      </c>
      <c r="X58" s="259">
        <f t="shared" si="61"/>
        <v>760600</v>
      </c>
      <c r="Y58" s="249">
        <f t="shared" si="61"/>
        <v>798120</v>
      </c>
      <c r="Z58" s="249">
        <f t="shared" si="61"/>
        <v>785240</v>
      </c>
      <c r="AA58" s="249">
        <f t="shared" si="61"/>
        <v>824750</v>
      </c>
      <c r="AB58" s="259">
        <f t="shared" si="61"/>
        <v>905140</v>
      </c>
      <c r="AC58" s="249">
        <f t="shared" si="61"/>
        <v>963330</v>
      </c>
      <c r="AD58" s="249">
        <f t="shared" si="61"/>
        <v>989190</v>
      </c>
      <c r="AE58" s="249">
        <f t="shared" si="61"/>
        <v>1032290</v>
      </c>
      <c r="AF58" s="259">
        <f t="shared" si="61"/>
        <v>983310</v>
      </c>
      <c r="AG58" s="249">
        <f t="shared" si="61"/>
        <v>1063850</v>
      </c>
      <c r="AH58" s="249">
        <f t="shared" si="61"/>
        <v>1142600</v>
      </c>
      <c r="AI58" s="249">
        <f t="shared" si="61"/>
        <v>1182880</v>
      </c>
      <c r="AJ58" s="259">
        <f t="shared" si="61"/>
        <v>1213910</v>
      </c>
      <c r="AK58" s="249">
        <f t="shared" si="61"/>
        <v>1374450</v>
      </c>
      <c r="AL58" s="248"/>
      <c r="AM58" s="249">
        <f t="shared" ref="AM58:AS58" si="62">SUM(AM55:AM57)</f>
        <v>272400</v>
      </c>
      <c r="AN58" s="249">
        <f t="shared" si="62"/>
        <v>285500</v>
      </c>
      <c r="AO58" s="249">
        <f t="shared" si="62"/>
        <v>394500</v>
      </c>
      <c r="AP58" s="249">
        <f t="shared" si="62"/>
        <v>564900</v>
      </c>
      <c r="AQ58" s="249">
        <f t="shared" si="62"/>
        <v>801590</v>
      </c>
      <c r="AR58" s="249">
        <f t="shared" si="62"/>
        <v>714820</v>
      </c>
      <c r="AS58" s="249">
        <f t="shared" si="62"/>
        <v>824750</v>
      </c>
      <c r="AT58" s="249">
        <f t="shared" ref="AT58:AU58" si="63">SUM(AT55:AT57)</f>
        <v>1032290</v>
      </c>
      <c r="AU58" s="249">
        <f t="shared" si="63"/>
        <v>1182880</v>
      </c>
    </row>
    <row r="59" spans="2:47" x14ac:dyDescent="0.15">
      <c r="C59" s="213"/>
      <c r="D59" s="260"/>
      <c r="E59" s="213"/>
      <c r="F59" s="213"/>
      <c r="G59" s="213"/>
      <c r="H59" s="260"/>
      <c r="I59" s="213"/>
      <c r="J59" s="213"/>
      <c r="K59" s="213"/>
      <c r="L59" s="260"/>
      <c r="M59" s="213"/>
      <c r="N59" s="213"/>
      <c r="O59" s="213"/>
      <c r="P59" s="260"/>
      <c r="Q59" s="213"/>
      <c r="R59" s="213"/>
      <c r="S59" s="213"/>
      <c r="T59" s="260"/>
      <c r="U59" s="213"/>
      <c r="V59" s="213"/>
      <c r="W59" s="213"/>
      <c r="X59" s="260"/>
      <c r="Y59" s="213"/>
      <c r="Z59" s="213"/>
      <c r="AA59" s="213"/>
      <c r="AB59" s="260"/>
      <c r="AC59" s="213"/>
      <c r="AD59" s="213"/>
      <c r="AE59" s="213"/>
      <c r="AF59" s="260"/>
      <c r="AG59" s="213"/>
      <c r="AH59" s="213"/>
      <c r="AI59" s="213"/>
      <c r="AJ59" s="310"/>
      <c r="AK59" s="213"/>
      <c r="AL59" s="248"/>
      <c r="AM59" s="213"/>
      <c r="AN59" s="213"/>
      <c r="AO59" s="213"/>
      <c r="AP59" s="213"/>
      <c r="AQ59" s="213"/>
      <c r="AR59" s="213"/>
      <c r="AS59" s="213"/>
      <c r="AT59" s="213"/>
      <c r="AU59" s="213"/>
    </row>
    <row r="60" spans="2:47" x14ac:dyDescent="0.15">
      <c r="B60" s="234" t="s">
        <v>33</v>
      </c>
      <c r="C60" s="213"/>
      <c r="D60" s="260"/>
      <c r="E60" s="213"/>
      <c r="F60" s="213"/>
      <c r="G60" s="213"/>
      <c r="H60" s="260"/>
      <c r="I60" s="213"/>
      <c r="J60" s="213"/>
      <c r="K60" s="213"/>
      <c r="L60" s="260"/>
      <c r="M60" s="213"/>
      <c r="N60" s="213"/>
      <c r="O60" s="213"/>
      <c r="P60" s="260"/>
      <c r="Q60" s="213"/>
      <c r="R60" s="213"/>
      <c r="S60" s="213"/>
      <c r="T60" s="260"/>
      <c r="U60" s="213"/>
      <c r="V60" s="213"/>
      <c r="W60" s="213"/>
      <c r="X60" s="260"/>
      <c r="Y60" s="213"/>
      <c r="Z60" s="213"/>
      <c r="AA60" s="213"/>
      <c r="AB60" s="260"/>
      <c r="AC60" s="213"/>
      <c r="AD60" s="213"/>
      <c r="AE60" s="213"/>
      <c r="AF60" s="260"/>
      <c r="AG60" s="213"/>
      <c r="AH60" s="213"/>
      <c r="AI60" s="213"/>
      <c r="AJ60" s="311"/>
      <c r="AK60" s="213"/>
      <c r="AL60" s="248"/>
      <c r="AM60" s="213"/>
      <c r="AN60" s="213"/>
      <c r="AO60" s="213"/>
      <c r="AP60" s="213"/>
      <c r="AQ60" s="213"/>
      <c r="AR60" s="213"/>
      <c r="AS60" s="213"/>
      <c r="AT60" s="213"/>
      <c r="AU60" s="213"/>
    </row>
    <row r="61" spans="2:47" x14ac:dyDescent="0.15">
      <c r="B61" s="11" t="s">
        <v>34</v>
      </c>
      <c r="C61" s="247"/>
      <c r="D61" s="258"/>
      <c r="E61" s="247"/>
      <c r="F61" s="247"/>
      <c r="G61" s="247"/>
      <c r="H61" s="258">
        <v>6768.4</v>
      </c>
      <c r="I61" s="247">
        <v>7176.7</v>
      </c>
      <c r="J61" s="247">
        <v>7411</v>
      </c>
      <c r="K61" s="247">
        <v>7561.73</v>
      </c>
      <c r="L61" s="258">
        <v>6964</v>
      </c>
      <c r="M61" s="247">
        <v>7949.6</v>
      </c>
      <c r="N61" s="247">
        <v>9257.1359999999986</v>
      </c>
      <c r="O61" s="247">
        <v>9822.6980000000003</v>
      </c>
      <c r="P61" s="258">
        <v>12265.626</v>
      </c>
      <c r="Q61" s="247">
        <v>12950.293</v>
      </c>
      <c r="R61" s="247">
        <v>13477.094000000001</v>
      </c>
      <c r="S61" s="247">
        <v>13325.223999999998</v>
      </c>
      <c r="T61" s="258">
        <v>14672.652</v>
      </c>
      <c r="U61" s="247">
        <v>14526.184000000001</v>
      </c>
      <c r="V61" s="247">
        <v>14190.96</v>
      </c>
      <c r="W61" s="247">
        <v>13551.728000000001</v>
      </c>
      <c r="X61" s="258">
        <v>14324.087</v>
      </c>
      <c r="Y61" s="247">
        <v>15194.990000000002</v>
      </c>
      <c r="Z61" s="247">
        <v>15485.778999999999</v>
      </c>
      <c r="AA61" s="247">
        <v>14953.992</v>
      </c>
      <c r="AB61" s="258">
        <v>17006.893</v>
      </c>
      <c r="AC61" s="247">
        <v>17717.345000000001</v>
      </c>
      <c r="AD61" s="247">
        <v>17706.434999999998</v>
      </c>
      <c r="AE61" s="247">
        <v>18176.322</v>
      </c>
      <c r="AF61" s="258">
        <v>17489.895</v>
      </c>
      <c r="AG61" s="247">
        <v>17203.605</v>
      </c>
      <c r="AH61" s="247">
        <v>18503.873</v>
      </c>
      <c r="AI61" s="247">
        <v>17880.419999999998</v>
      </c>
      <c r="AJ61" s="258">
        <v>18868.288</v>
      </c>
      <c r="AK61" s="247">
        <v>19553.874</v>
      </c>
      <c r="AL61" s="248"/>
      <c r="AM61" s="247">
        <v>5746.0460000000003</v>
      </c>
      <c r="AN61" s="247">
        <v>6073.4140000000007</v>
      </c>
      <c r="AO61" s="247">
        <f>+K61</f>
        <v>7561.73</v>
      </c>
      <c r="AP61" s="247">
        <f>+O61</f>
        <v>9822.6980000000003</v>
      </c>
      <c r="AQ61" s="247">
        <f>+S61</f>
        <v>13325.223999999998</v>
      </c>
      <c r="AR61" s="247">
        <f>+W61</f>
        <v>13551.728000000001</v>
      </c>
      <c r="AS61" s="247">
        <f>+AA61</f>
        <v>14953.992</v>
      </c>
      <c r="AT61" s="247">
        <f>+AE61</f>
        <v>18176.322</v>
      </c>
      <c r="AU61" s="247">
        <f>+AI61</f>
        <v>17880.419999999998</v>
      </c>
    </row>
    <row r="62" spans="2:47" x14ac:dyDescent="0.15">
      <c r="B62" s="14" t="s">
        <v>38</v>
      </c>
      <c r="C62" s="247"/>
      <c r="D62" s="258"/>
      <c r="E62" s="247"/>
      <c r="F62" s="247"/>
      <c r="G62" s="247"/>
      <c r="H62" s="258">
        <v>6117.8060000000014</v>
      </c>
      <c r="I62" s="247">
        <v>6382.3950000000004</v>
      </c>
      <c r="J62" s="247">
        <v>6610.4839999999995</v>
      </c>
      <c r="K62" s="247">
        <f>+K61-482.6</f>
        <v>7079.1299999999992</v>
      </c>
      <c r="L62" s="258">
        <v>5675.7140000000009</v>
      </c>
      <c r="M62" s="247">
        <f>+M61-1143.9</f>
        <v>6805.7000000000007</v>
      </c>
      <c r="N62" s="247">
        <f>+N61-1276.8</f>
        <v>7980.3359999999984</v>
      </c>
      <c r="O62" s="247">
        <v>9182.3279999999995</v>
      </c>
      <c r="P62" s="258">
        <v>11100.517</v>
      </c>
      <c r="Q62" s="247">
        <v>11535.556999999999</v>
      </c>
      <c r="R62" s="247">
        <v>11879.342000000001</v>
      </c>
      <c r="S62" s="247">
        <v>12374.89</v>
      </c>
      <c r="T62" s="258">
        <v>12849.39</v>
      </c>
      <c r="U62" s="247">
        <v>12380.472999999998</v>
      </c>
      <c r="V62" s="247">
        <v>11701.231</v>
      </c>
      <c r="W62" s="247">
        <v>12337.273999999999</v>
      </c>
      <c r="X62" s="258">
        <v>12998.967000000001</v>
      </c>
      <c r="Y62" s="247">
        <v>13852.115000000002</v>
      </c>
      <c r="Z62" s="247">
        <v>14010.562</v>
      </c>
      <c r="AA62" s="247">
        <v>14300.893</v>
      </c>
      <c r="AB62" s="258">
        <v>15923.434000000001</v>
      </c>
      <c r="AC62" s="247">
        <v>16712.313000000002</v>
      </c>
      <c r="AD62" s="247">
        <v>16541.847999999998</v>
      </c>
      <c r="AE62" s="247">
        <v>17644.937999999998</v>
      </c>
      <c r="AF62" s="258">
        <v>16287.289000000001</v>
      </c>
      <c r="AG62" s="247">
        <v>15756.650000000001</v>
      </c>
      <c r="AH62" s="247">
        <v>17174.292000000001</v>
      </c>
      <c r="AI62" s="247">
        <v>17333.141</v>
      </c>
      <c r="AJ62" s="258">
        <v>17473.534</v>
      </c>
      <c r="AK62" s="247">
        <v>18727.09</v>
      </c>
      <c r="AL62" s="248"/>
      <c r="AM62" s="247">
        <v>5331.5460000000003</v>
      </c>
      <c r="AN62" s="247">
        <v>5599.014000000001</v>
      </c>
      <c r="AO62" s="247">
        <f>+K62</f>
        <v>7079.1299999999992</v>
      </c>
      <c r="AP62" s="247">
        <f>+O62</f>
        <v>9182.3279999999995</v>
      </c>
      <c r="AQ62" s="247">
        <f>+S62</f>
        <v>12374.89</v>
      </c>
      <c r="AR62" s="247">
        <f>+W62</f>
        <v>12337.273999999999</v>
      </c>
      <c r="AS62" s="247">
        <f>+AA62</f>
        <v>14300.893</v>
      </c>
      <c r="AT62" s="247">
        <f>+AE62</f>
        <v>17644.937999999998</v>
      </c>
      <c r="AU62" s="247">
        <f>+AI62</f>
        <v>17333.141</v>
      </c>
    </row>
    <row r="63" spans="2:47" x14ac:dyDescent="0.15">
      <c r="B63" s="11" t="s">
        <v>35</v>
      </c>
      <c r="C63" s="247"/>
      <c r="D63" s="258"/>
      <c r="E63" s="247"/>
      <c r="F63" s="247"/>
      <c r="G63" s="247"/>
      <c r="H63" s="258">
        <v>4307.3999999999996</v>
      </c>
      <c r="I63" s="247">
        <v>4269</v>
      </c>
      <c r="J63" s="247">
        <v>4258.8</v>
      </c>
      <c r="K63" s="247">
        <v>4515.45</v>
      </c>
      <c r="L63" s="258">
        <v>4887.3</v>
      </c>
      <c r="M63" s="247">
        <v>5299.7</v>
      </c>
      <c r="N63" s="247">
        <v>5829.6</v>
      </c>
      <c r="O63" s="247">
        <v>6493.1760000000004</v>
      </c>
      <c r="P63" s="258">
        <v>7024.1890000000003</v>
      </c>
      <c r="Q63" s="247">
        <v>7632.1859999999997</v>
      </c>
      <c r="R63" s="247">
        <v>8189.3779999999997</v>
      </c>
      <c r="S63" s="247">
        <v>8868.4079999999994</v>
      </c>
      <c r="T63" s="258">
        <v>9570.8220000000001</v>
      </c>
      <c r="U63" s="247">
        <v>10267.34</v>
      </c>
      <c r="V63" s="247">
        <v>10645.289000000001</v>
      </c>
      <c r="W63" s="247">
        <v>10876.75</v>
      </c>
      <c r="X63" s="258">
        <v>10876.616</v>
      </c>
      <c r="Y63" s="247">
        <v>10983.869000000001</v>
      </c>
      <c r="Z63" s="247">
        <v>11213.644</v>
      </c>
      <c r="AA63" s="247">
        <v>11340.71</v>
      </c>
      <c r="AB63" s="258">
        <v>11195.116</v>
      </c>
      <c r="AC63" s="247">
        <v>11233.217000000001</v>
      </c>
      <c r="AD63" s="247">
        <v>11216.422999999999</v>
      </c>
      <c r="AE63" s="247">
        <v>11120.541000000001</v>
      </c>
      <c r="AF63" s="258">
        <v>11196.352000000001</v>
      </c>
      <c r="AG63" s="247">
        <v>11212.06</v>
      </c>
      <c r="AH63" s="247">
        <v>11421.697</v>
      </c>
      <c r="AI63" s="247">
        <v>11957.367</v>
      </c>
      <c r="AJ63" s="258">
        <v>12339.092000000001</v>
      </c>
      <c r="AK63" s="247">
        <v>12696.696</v>
      </c>
      <c r="AL63" s="248"/>
      <c r="AM63" s="247">
        <v>2381</v>
      </c>
      <c r="AN63" s="247">
        <v>4177.9809999999998</v>
      </c>
      <c r="AO63" s="247">
        <f>+K63</f>
        <v>4515.45</v>
      </c>
      <c r="AP63" s="247">
        <f>+O63</f>
        <v>6493.1760000000004</v>
      </c>
      <c r="AQ63" s="247">
        <f>+S63</f>
        <v>8868.4079999999994</v>
      </c>
      <c r="AR63" s="247">
        <f>+W63</f>
        <v>10876.75</v>
      </c>
      <c r="AS63" s="247">
        <f>+AA63</f>
        <v>11340.71</v>
      </c>
      <c r="AT63" s="247">
        <f>+AE63</f>
        <v>11120.541000000001</v>
      </c>
      <c r="AU63" s="247">
        <f>+AI63</f>
        <v>11957.367</v>
      </c>
    </row>
    <row r="64" spans="2:47" x14ac:dyDescent="0.15">
      <c r="B64" s="11" t="s">
        <v>36</v>
      </c>
      <c r="C64" s="247"/>
      <c r="D64" s="258"/>
      <c r="E64" s="247"/>
      <c r="F64" s="247"/>
      <c r="G64" s="247"/>
      <c r="H64" s="258">
        <v>3933.1</v>
      </c>
      <c r="I64" s="247">
        <v>3951.2</v>
      </c>
      <c r="J64" s="247">
        <v>4041.2</v>
      </c>
      <c r="K64" s="247">
        <v>4050.5940000000001</v>
      </c>
      <c r="L64" s="258">
        <v>4089.9</v>
      </c>
      <c r="M64" s="247">
        <v>4034.4</v>
      </c>
      <c r="N64" s="247">
        <v>4010.3</v>
      </c>
      <c r="O64" s="247">
        <v>3995.982</v>
      </c>
      <c r="P64" s="258">
        <v>4008.27</v>
      </c>
      <c r="Q64" s="247">
        <v>4046.4229999999998</v>
      </c>
      <c r="R64" s="247">
        <v>4109.3710000000001</v>
      </c>
      <c r="S64" s="247">
        <v>4132.527</v>
      </c>
      <c r="T64" s="258">
        <v>4107.2269999999999</v>
      </c>
      <c r="U64" s="247">
        <v>4033.0230000000001</v>
      </c>
      <c r="V64" s="247">
        <v>4091.1089999999999</v>
      </c>
      <c r="W64" s="247">
        <v>4098.9449999999997</v>
      </c>
      <c r="X64" s="258">
        <v>3995.0929999999998</v>
      </c>
      <c r="Y64" s="247">
        <v>3930.393</v>
      </c>
      <c r="Z64" s="247">
        <v>3853.9160000000002</v>
      </c>
      <c r="AA64" s="247">
        <v>3905.078</v>
      </c>
      <c r="AB64" s="258">
        <v>3783.8130000000001</v>
      </c>
      <c r="AC64" s="247">
        <v>3603.1419999999998</v>
      </c>
      <c r="AD64" s="247">
        <v>3412.752</v>
      </c>
      <c r="AE64" s="247">
        <v>0</v>
      </c>
      <c r="AF64" s="258">
        <v>0</v>
      </c>
      <c r="AG64" s="247">
        <v>0</v>
      </c>
      <c r="AH64" s="247">
        <v>0</v>
      </c>
      <c r="AI64" s="247">
        <v>0</v>
      </c>
      <c r="AJ64" s="258">
        <v>0</v>
      </c>
      <c r="AK64" s="247">
        <v>0</v>
      </c>
      <c r="AL64" s="248"/>
      <c r="AM64" s="247">
        <v>3725</v>
      </c>
      <c r="AN64" s="247">
        <v>3953.0929999999998</v>
      </c>
      <c r="AO64" s="247">
        <f>+K64</f>
        <v>4050.5940000000001</v>
      </c>
      <c r="AP64" s="247">
        <f>+O64</f>
        <v>3995.982</v>
      </c>
      <c r="AQ64" s="247">
        <f>+S64</f>
        <v>4132.527</v>
      </c>
      <c r="AR64" s="247">
        <f>+W64</f>
        <v>4098.9449999999997</v>
      </c>
      <c r="AS64" s="247">
        <f>+AA64</f>
        <v>3905.078</v>
      </c>
      <c r="AT64" s="247">
        <f>+AE64</f>
        <v>0</v>
      </c>
      <c r="AU64" s="247">
        <f>+AI64</f>
        <v>0</v>
      </c>
    </row>
    <row r="65" spans="1:47" s="12" customFormat="1" x14ac:dyDescent="0.15">
      <c r="A65" s="11"/>
      <c r="B65" s="12" t="s">
        <v>37</v>
      </c>
      <c r="C65" s="249"/>
      <c r="D65" s="259"/>
      <c r="E65" s="249"/>
      <c r="F65" s="249"/>
      <c r="G65" s="249">
        <f>+AN65</f>
        <v>14204.488000000001</v>
      </c>
      <c r="H65" s="259">
        <f>+SUM(H63:H64,H61)</f>
        <v>15008.9</v>
      </c>
      <c r="I65" s="249">
        <f t="shared" ref="I65:O65" si="64">+SUM(I63:I64,I61)</f>
        <v>15396.900000000001</v>
      </c>
      <c r="J65" s="249">
        <f t="shared" si="64"/>
        <v>15711</v>
      </c>
      <c r="K65" s="249">
        <f t="shared" si="64"/>
        <v>16127.773999999999</v>
      </c>
      <c r="L65" s="259">
        <f t="shared" si="64"/>
        <v>15941.2</v>
      </c>
      <c r="M65" s="249">
        <f t="shared" si="64"/>
        <v>17283.7</v>
      </c>
      <c r="N65" s="249">
        <f t="shared" si="64"/>
        <v>19097.036</v>
      </c>
      <c r="O65" s="249">
        <f t="shared" si="64"/>
        <v>20311.856</v>
      </c>
      <c r="P65" s="259">
        <f>+SUM(P63:P64,P61)</f>
        <v>23298.084999999999</v>
      </c>
      <c r="Q65" s="249">
        <f>+SUM(Q63:Q64,Q61)</f>
        <v>24628.902000000002</v>
      </c>
      <c r="R65" s="249">
        <f>+SUM(R63:R64,R61)</f>
        <v>25775.843000000001</v>
      </c>
      <c r="S65" s="249">
        <f>+SUM(S63:S64,S61)</f>
        <v>26326.159</v>
      </c>
      <c r="T65" s="259">
        <v>28350.700999999997</v>
      </c>
      <c r="U65" s="249">
        <f t="shared" ref="U65:AB65" si="65">+SUM(U63:U64,U61)</f>
        <v>28826.547000000002</v>
      </c>
      <c r="V65" s="249">
        <f t="shared" si="65"/>
        <v>28927.358</v>
      </c>
      <c r="W65" s="249">
        <f t="shared" si="65"/>
        <v>28527.423000000003</v>
      </c>
      <c r="X65" s="259">
        <f t="shared" si="65"/>
        <v>29195.795999999998</v>
      </c>
      <c r="Y65" s="249">
        <f t="shared" si="65"/>
        <v>30109.252</v>
      </c>
      <c r="Z65" s="249">
        <f t="shared" si="65"/>
        <v>30553.339</v>
      </c>
      <c r="AA65" s="249">
        <f t="shared" si="65"/>
        <v>30199.78</v>
      </c>
      <c r="AB65" s="259">
        <f t="shared" si="65"/>
        <v>31985.822</v>
      </c>
      <c r="AC65" s="249">
        <f t="shared" ref="AC65:AK65" si="66">+SUM(AC63:AC64,AC61)</f>
        <v>32553.704000000002</v>
      </c>
      <c r="AD65" s="249">
        <f t="shared" si="66"/>
        <v>32335.609999999997</v>
      </c>
      <c r="AE65" s="249">
        <f t="shared" si="66"/>
        <v>29296.863000000001</v>
      </c>
      <c r="AF65" s="259">
        <f t="shared" si="66"/>
        <v>28686.247000000003</v>
      </c>
      <c r="AG65" s="249">
        <f t="shared" si="66"/>
        <v>28415.665000000001</v>
      </c>
      <c r="AH65" s="249">
        <f t="shared" si="66"/>
        <v>29925.57</v>
      </c>
      <c r="AI65" s="249">
        <f t="shared" si="66"/>
        <v>29837.786999999997</v>
      </c>
      <c r="AJ65" s="259">
        <f t="shared" si="66"/>
        <v>31207.38</v>
      </c>
      <c r="AK65" s="249">
        <f t="shared" si="66"/>
        <v>32250.57</v>
      </c>
      <c r="AL65" s="248"/>
      <c r="AM65" s="249">
        <f t="shared" ref="AM65:AS65" si="67">+SUM(AM63:AM64,AM61)</f>
        <v>11852.046</v>
      </c>
      <c r="AN65" s="249">
        <f t="shared" si="67"/>
        <v>14204.488000000001</v>
      </c>
      <c r="AO65" s="249">
        <f t="shared" si="67"/>
        <v>16127.773999999999</v>
      </c>
      <c r="AP65" s="249">
        <f t="shared" si="67"/>
        <v>20311.856</v>
      </c>
      <c r="AQ65" s="249">
        <f t="shared" si="67"/>
        <v>26326.159</v>
      </c>
      <c r="AR65" s="249">
        <f t="shared" si="67"/>
        <v>28527.423000000003</v>
      </c>
      <c r="AS65" s="249">
        <f t="shared" si="67"/>
        <v>30199.78</v>
      </c>
      <c r="AT65" s="249">
        <f t="shared" ref="AT65:AU65" si="68">+SUM(AT63:AT64,AT61)</f>
        <v>29296.863000000001</v>
      </c>
      <c r="AU65" s="249">
        <f t="shared" si="68"/>
        <v>29837.786999999997</v>
      </c>
    </row>
    <row r="66" spans="1:47" x14ac:dyDescent="0.15">
      <c r="C66" s="213"/>
      <c r="D66" s="260"/>
      <c r="E66" s="213"/>
      <c r="F66" s="213"/>
      <c r="G66" s="213"/>
      <c r="H66" s="260"/>
      <c r="I66" s="213"/>
      <c r="J66" s="213"/>
      <c r="K66" s="213"/>
      <c r="L66" s="260"/>
      <c r="M66" s="213"/>
      <c r="N66" s="213"/>
      <c r="O66" s="213"/>
      <c r="P66" s="260"/>
      <c r="Q66" s="213"/>
      <c r="R66" s="213"/>
      <c r="S66" s="213"/>
      <c r="T66" s="260"/>
      <c r="U66" s="213"/>
      <c r="V66" s="213"/>
      <c r="W66" s="213"/>
      <c r="X66" s="260"/>
      <c r="Y66" s="213"/>
      <c r="Z66" s="213"/>
      <c r="AA66" s="213"/>
      <c r="AB66" s="260"/>
      <c r="AC66" s="213"/>
      <c r="AD66" s="213"/>
      <c r="AE66" s="213"/>
      <c r="AF66" s="260"/>
      <c r="AG66" s="213"/>
      <c r="AH66" s="213"/>
      <c r="AI66" s="213"/>
      <c r="AJ66" s="260"/>
      <c r="AK66" s="213"/>
      <c r="AL66" s="248"/>
      <c r="AM66" s="213"/>
      <c r="AN66" s="213"/>
      <c r="AO66" s="213"/>
      <c r="AP66" s="213"/>
      <c r="AQ66" s="213"/>
      <c r="AR66" s="213"/>
      <c r="AS66" s="213"/>
      <c r="AT66" s="213"/>
      <c r="AU66" s="213"/>
    </row>
    <row r="67" spans="1:47" x14ac:dyDescent="0.15">
      <c r="B67" s="11" t="s">
        <v>39</v>
      </c>
      <c r="C67" s="250"/>
      <c r="D67" s="262"/>
      <c r="E67" s="250"/>
      <c r="F67" s="250"/>
      <c r="G67" s="250"/>
      <c r="H67" s="262">
        <f>+H57/H58</f>
        <v>0.12751093663060278</v>
      </c>
      <c r="I67" s="250">
        <f t="shared" ref="I67:N67" si="69">+I57/I58</f>
        <v>0.12557516822165679</v>
      </c>
      <c r="J67" s="250">
        <f t="shared" si="69"/>
        <v>0.12349508762322016</v>
      </c>
      <c r="K67" s="250">
        <f t="shared" si="69"/>
        <v>0.11409804055766794</v>
      </c>
      <c r="L67" s="262">
        <f t="shared" si="69"/>
        <v>0.18887380107072416</v>
      </c>
      <c r="M67" s="250">
        <f t="shared" si="69"/>
        <v>0.14552449364107395</v>
      </c>
      <c r="N67" s="250">
        <f t="shared" si="69"/>
        <v>0.12671521557136878</v>
      </c>
      <c r="O67" s="250">
        <f t="shared" ref="O67:AC67" si="70">+O57/O58</f>
        <v>0.10679766330323952</v>
      </c>
      <c r="P67" s="262">
        <f t="shared" si="70"/>
        <v>0.10039515929859225</v>
      </c>
      <c r="Q67" s="250">
        <f t="shared" si="70"/>
        <v>9.498827042013222E-2</v>
      </c>
      <c r="R67" s="250">
        <f t="shared" si="70"/>
        <v>9.9707429638888512E-2</v>
      </c>
      <c r="S67" s="250">
        <f t="shared" si="70"/>
        <v>9.2902855574545584E-2</v>
      </c>
      <c r="T67" s="262">
        <f t="shared" si="70"/>
        <v>0.10421897243432121</v>
      </c>
      <c r="U67" s="250">
        <f t="shared" si="70"/>
        <v>0.12316240305590925</v>
      </c>
      <c r="V67" s="250">
        <f t="shared" si="70"/>
        <v>0.12991802074457146</v>
      </c>
      <c r="W67" s="250">
        <f t="shared" si="70"/>
        <v>0.11352508323773818</v>
      </c>
      <c r="X67" s="262">
        <f t="shared" si="70"/>
        <v>9.6634236129371553E-2</v>
      </c>
      <c r="Y67" s="250">
        <f t="shared" si="70"/>
        <v>9.0850999849646674E-2</v>
      </c>
      <c r="Z67" s="250">
        <f t="shared" si="70"/>
        <v>8.900463552544445E-2</v>
      </c>
      <c r="AA67" s="250">
        <f t="shared" si="70"/>
        <v>8.172173385874508E-2</v>
      </c>
      <c r="AB67" s="262">
        <f t="shared" si="70"/>
        <v>7.2552312349470793E-2</v>
      </c>
      <c r="AC67" s="250">
        <f t="shared" si="70"/>
        <v>7.0515814933615681E-2</v>
      </c>
      <c r="AD67" s="250">
        <f t="shared" ref="AD67:AF67" si="71">+AD57/AD58</f>
        <v>7.0016882499823088E-2</v>
      </c>
      <c r="AE67" s="250">
        <f t="shared" si="71"/>
        <v>6.7849150916893503E-2</v>
      </c>
      <c r="AF67" s="262">
        <f t="shared" si="71"/>
        <v>8.0096815856647449E-2</v>
      </c>
      <c r="AG67" s="296">
        <f t="shared" ref="AG67:AH67" si="72">+AG57/AG58</f>
        <v>7.8112515862198612E-2</v>
      </c>
      <c r="AH67" s="296">
        <f t="shared" si="72"/>
        <v>7.110099772448801E-2</v>
      </c>
      <c r="AI67" s="296">
        <f t="shared" ref="AI67:AK67" si="73">+AI57/AI58</f>
        <v>7.1089206005681055E-2</v>
      </c>
      <c r="AJ67" s="262">
        <f t="shared" si="73"/>
        <v>8.0104785363000558E-2</v>
      </c>
      <c r="AK67" s="296">
        <f t="shared" si="73"/>
        <v>6.9293171814180224E-2</v>
      </c>
      <c r="AL67" s="248"/>
      <c r="AM67" s="296">
        <f>+AM57/AM58</f>
        <v>0.1260690161527166</v>
      </c>
      <c r="AN67" s="296">
        <f>+AN57/AN58</f>
        <v>0.15069298073555165</v>
      </c>
      <c r="AO67" s="296">
        <f t="shared" ref="AO67:AU67" si="74">+IFERROR(AO57/AO58,0)</f>
        <v>0.11409804055766794</v>
      </c>
      <c r="AP67" s="296">
        <f t="shared" si="74"/>
        <v>0.10679766330323952</v>
      </c>
      <c r="AQ67" s="296">
        <f t="shared" si="74"/>
        <v>9.2902855574545584E-2</v>
      </c>
      <c r="AR67" s="296">
        <f t="shared" si="74"/>
        <v>0.11352508323773818</v>
      </c>
      <c r="AS67" s="296">
        <f t="shared" si="74"/>
        <v>8.172173385874508E-2</v>
      </c>
      <c r="AT67" s="296">
        <f t="shared" si="74"/>
        <v>6.7849150916893503E-2</v>
      </c>
      <c r="AU67" s="250">
        <f t="shared" si="74"/>
        <v>7.1089206005681055E-2</v>
      </c>
    </row>
    <row r="68" spans="1:47" x14ac:dyDescent="0.15">
      <c r="B68" s="11" t="s">
        <v>40</v>
      </c>
      <c r="C68" s="250"/>
      <c r="D68" s="262"/>
      <c r="E68" s="250"/>
      <c r="F68" s="250"/>
      <c r="G68" s="250"/>
      <c r="H68" s="262">
        <f>+H65/H57</f>
        <v>0.36385399120111839</v>
      </c>
      <c r="I68" s="250">
        <f t="shared" ref="I68:N68" si="75">+I65/I57</f>
        <v>0.34665259904344697</v>
      </c>
      <c r="J68" s="250">
        <f t="shared" si="75"/>
        <v>0.34835606579683559</v>
      </c>
      <c r="K68" s="250">
        <f t="shared" si="75"/>
        <v>0.35830200238929105</v>
      </c>
      <c r="L68" s="262">
        <f t="shared" si="75"/>
        <v>0.23781721593036997</v>
      </c>
      <c r="M68" s="250">
        <f t="shared" si="75"/>
        <v>0.27971814072571971</v>
      </c>
      <c r="N68" s="250">
        <f t="shared" si="75"/>
        <v>0.31542132707942405</v>
      </c>
      <c r="O68" s="250">
        <f t="shared" ref="O68:AC68" si="76">+O65/O57</f>
        <v>0.3366791977457318</v>
      </c>
      <c r="P68" s="262">
        <f t="shared" si="76"/>
        <v>0.35821163899138991</v>
      </c>
      <c r="Q68" s="250">
        <f t="shared" si="76"/>
        <v>0.36864095195330043</v>
      </c>
      <c r="R68" s="250">
        <f t="shared" si="76"/>
        <v>0.35508806998209119</v>
      </c>
      <c r="S68" s="250">
        <f t="shared" si="76"/>
        <v>0.35351361622129718</v>
      </c>
      <c r="T68" s="262">
        <f t="shared" si="76"/>
        <v>0.35205142183037375</v>
      </c>
      <c r="U68" s="250">
        <f t="shared" si="76"/>
        <v>0.33865774201127824</v>
      </c>
      <c r="V68" s="250">
        <f t="shared" si="76"/>
        <v>0.32712154246296504</v>
      </c>
      <c r="W68" s="250">
        <f t="shared" si="76"/>
        <v>0.35153940850277265</v>
      </c>
      <c r="X68" s="262">
        <f t="shared" si="76"/>
        <v>0.39722171428571429</v>
      </c>
      <c r="Y68" s="250">
        <f t="shared" si="76"/>
        <v>0.41524275272376227</v>
      </c>
      <c r="Z68" s="250">
        <f t="shared" si="76"/>
        <v>0.43716324223780229</v>
      </c>
      <c r="AA68" s="250">
        <f t="shared" si="76"/>
        <v>0.44806795252225518</v>
      </c>
      <c r="AB68" s="262">
        <f t="shared" si="76"/>
        <v>0.48706901172529316</v>
      </c>
      <c r="AC68" s="250">
        <f t="shared" si="76"/>
        <v>0.47922426026792286</v>
      </c>
      <c r="AD68" s="250">
        <f t="shared" ref="AD68:AF68" si="77">+AD65/AD57</f>
        <v>0.46687279815189137</v>
      </c>
      <c r="AE68" s="250">
        <f t="shared" si="77"/>
        <v>0.41828759280411193</v>
      </c>
      <c r="AF68" s="262">
        <f t="shared" si="77"/>
        <v>0.36422355256475369</v>
      </c>
      <c r="AG68" s="296">
        <f t="shared" ref="AG68:AH68" si="78">+AG65/AG57</f>
        <v>0.34194542719614923</v>
      </c>
      <c r="AH68" s="296">
        <f t="shared" si="78"/>
        <v>0.36836004431314623</v>
      </c>
      <c r="AI68" s="296">
        <f t="shared" ref="AI68:AK68" si="79">+AI65/AI57</f>
        <v>0.35483157331430604</v>
      </c>
      <c r="AJ68" s="262">
        <f t="shared" si="79"/>
        <v>0.32093150966680378</v>
      </c>
      <c r="AK68" s="296">
        <f t="shared" si="79"/>
        <v>0.3386242125157497</v>
      </c>
      <c r="AL68" s="248"/>
      <c r="AM68" s="296">
        <f>+AM65/AM57</f>
        <v>0.34512614585395973</v>
      </c>
      <c r="AN68" s="296">
        <f>+AN65/AN57</f>
        <v>0.33016151465200611</v>
      </c>
      <c r="AO68" s="296">
        <f t="shared" ref="AO68:AU68" si="80">+IFERROR(AO65/AO57,0)</f>
        <v>0.35830200238929105</v>
      </c>
      <c r="AP68" s="296">
        <f t="shared" si="80"/>
        <v>0.3366791977457318</v>
      </c>
      <c r="AQ68" s="296">
        <f t="shared" si="80"/>
        <v>0.35351361622129718</v>
      </c>
      <c r="AR68" s="296">
        <f t="shared" si="80"/>
        <v>0.35153940850277265</v>
      </c>
      <c r="AS68" s="296">
        <f t="shared" si="80"/>
        <v>0.44806795252225518</v>
      </c>
      <c r="AT68" s="296">
        <f t="shared" si="80"/>
        <v>0.41828759280411193</v>
      </c>
      <c r="AU68" s="250">
        <f t="shared" si="80"/>
        <v>0.35483157331430604</v>
      </c>
    </row>
    <row r="69" spans="1:47" x14ac:dyDescent="0.15">
      <c r="C69" s="213"/>
      <c r="D69" s="260"/>
      <c r="E69" s="213"/>
      <c r="F69" s="213"/>
      <c r="G69" s="213"/>
      <c r="H69" s="260"/>
      <c r="I69" s="213"/>
      <c r="J69" s="213"/>
      <c r="K69" s="213"/>
      <c r="L69" s="260"/>
      <c r="M69" s="213"/>
      <c r="N69" s="213"/>
      <c r="O69" s="213"/>
      <c r="P69" s="260"/>
      <c r="Q69" s="213"/>
      <c r="R69" s="213"/>
      <c r="S69" s="213"/>
      <c r="T69" s="260"/>
      <c r="U69" s="213"/>
      <c r="V69" s="213"/>
      <c r="W69" s="213"/>
      <c r="X69" s="260"/>
      <c r="Y69" s="213"/>
      <c r="Z69" s="213"/>
      <c r="AA69" s="213"/>
      <c r="AB69" s="260"/>
      <c r="AC69" s="213"/>
      <c r="AD69" s="213"/>
      <c r="AE69" s="213"/>
      <c r="AF69" s="260"/>
      <c r="AG69" s="213"/>
      <c r="AH69" s="213"/>
      <c r="AI69" s="213"/>
      <c r="AJ69" s="260"/>
      <c r="AK69" s="213"/>
      <c r="AL69" s="248"/>
      <c r="AM69" s="213"/>
      <c r="AN69" s="213"/>
      <c r="AO69" s="213"/>
      <c r="AP69" s="213"/>
      <c r="AQ69" s="213"/>
      <c r="AR69" s="213"/>
      <c r="AS69" s="213"/>
      <c r="AT69" s="213"/>
      <c r="AU69" s="213"/>
    </row>
    <row r="70" spans="1:47" s="12" customFormat="1" x14ac:dyDescent="0.15">
      <c r="A70" s="11"/>
      <c r="B70" s="12" t="s">
        <v>41</v>
      </c>
      <c r="C70" s="253"/>
      <c r="D70" s="264"/>
      <c r="E70" s="253"/>
      <c r="F70" s="253"/>
      <c r="G70" s="253"/>
      <c r="H70" s="264">
        <f t="shared" ref="H70:AH70" si="81">+H23/AVERAGE(G65:H65)*4*-1</f>
        <v>1.8479198646866978E-3</v>
      </c>
      <c r="I70" s="253">
        <f t="shared" si="81"/>
        <v>3.0799386959067016E-3</v>
      </c>
      <c r="J70" s="253">
        <f t="shared" si="81"/>
        <v>1.4095454852304397E-3</v>
      </c>
      <c r="K70" s="253">
        <f t="shared" si="81"/>
        <v>2.4397924367313894E-3</v>
      </c>
      <c r="L70" s="264">
        <f t="shared" si="81"/>
        <v>4.5459514856945526E-3</v>
      </c>
      <c r="M70" s="253">
        <f t="shared" si="81"/>
        <v>2.4087958127789696E-3</v>
      </c>
      <c r="N70" s="253">
        <f t="shared" si="81"/>
        <v>7.4259080410027985E-4</v>
      </c>
      <c r="O70" s="253">
        <f t="shared" si="81"/>
        <v>1.4410960856245337E-3</v>
      </c>
      <c r="P70" s="264">
        <f t="shared" si="81"/>
        <v>7.5340620158142384E-4</v>
      </c>
      <c r="Q70" s="253">
        <f t="shared" si="81"/>
        <v>1.8254433561617383E-3</v>
      </c>
      <c r="R70" s="253">
        <f t="shared" si="81"/>
        <v>1.4041535176896539E-3</v>
      </c>
      <c r="S70" s="253">
        <f t="shared" si="81"/>
        <v>1.9119418866092707E-3</v>
      </c>
      <c r="T70" s="264">
        <f t="shared" si="81"/>
        <v>1.4021287981789738E-3</v>
      </c>
      <c r="U70" s="253">
        <f t="shared" si="81"/>
        <v>1.2255224315797781E-3</v>
      </c>
      <c r="V70" s="253">
        <f t="shared" si="81"/>
        <v>1.9349687263571181E-3</v>
      </c>
      <c r="W70" s="253">
        <f t="shared" si="81"/>
        <v>1.5466772034167184E-3</v>
      </c>
      <c r="X70" s="264">
        <f t="shared" si="81"/>
        <v>2.3182352321688784E-3</v>
      </c>
      <c r="Y70" s="253">
        <f t="shared" si="81"/>
        <v>2.4560472491313053E-3</v>
      </c>
      <c r="Z70" s="253">
        <f t="shared" si="81"/>
        <v>2.8903480235455163E-3</v>
      </c>
      <c r="AA70" s="253">
        <f t="shared" si="81"/>
        <v>2.9981012168280611E-3</v>
      </c>
      <c r="AB70" s="264">
        <f t="shared" si="81"/>
        <v>2.8901867027033043E-3</v>
      </c>
      <c r="AC70" s="253">
        <f t="shared" si="81"/>
        <v>3.4960281549015408E-3</v>
      </c>
      <c r="AD70" s="253">
        <f t="shared" si="81"/>
        <v>1.6093867165863397E-3</v>
      </c>
      <c r="AE70" s="253">
        <f t="shared" si="81"/>
        <v>2.5010324281487173E-4</v>
      </c>
      <c r="AF70" s="264">
        <f t="shared" si="81"/>
        <v>1.1134276860968652E-4</v>
      </c>
      <c r="AG70" s="297">
        <f t="shared" si="81"/>
        <v>3.4744896107857119E-5</v>
      </c>
      <c r="AH70" s="297">
        <f t="shared" si="81"/>
        <v>-2.0815466110719115E-4</v>
      </c>
      <c r="AI70" s="297">
        <f t="shared" ref="AI70:AK70" si="82">+AI23/AVERAGE(AH65:AI65)*4*-1</f>
        <v>-6.6930644475008332E-7</v>
      </c>
      <c r="AJ70" s="264">
        <f t="shared" si="82"/>
        <v>2.2029589991948094E-4</v>
      </c>
      <c r="AK70" s="297">
        <f t="shared" si="82"/>
        <v>-7.8161995463137406E-6</v>
      </c>
      <c r="AL70" s="248"/>
      <c r="AM70" s="297">
        <f>+AM23/AVERAGE('Nordnet by quarter (old)'!CH41:CI41)</f>
        <v>3.3040222757797695E-3</v>
      </c>
      <c r="AN70" s="297">
        <f t="shared" ref="AN70:AU70" si="83">+AN23/AVERAGE(AM65:AN65)*-1</f>
        <v>2.7633759731820048E-3</v>
      </c>
      <c r="AO70" s="297">
        <f t="shared" si="83"/>
        <v>2.2184300003738593E-3</v>
      </c>
      <c r="AP70" s="297">
        <f t="shared" si="83"/>
        <v>2.1242257399430235E-3</v>
      </c>
      <c r="AQ70" s="297">
        <f t="shared" si="83"/>
        <v>1.5584711313292386E-3</v>
      </c>
      <c r="AR70" s="297">
        <f t="shared" si="83"/>
        <v>1.5830871354946335E-3</v>
      </c>
      <c r="AS70" s="297">
        <f t="shared" si="83"/>
        <v>2.7114861915014067E-3</v>
      </c>
      <c r="AT70" s="297">
        <f t="shared" si="83"/>
        <v>2.2068744339071365E-3</v>
      </c>
      <c r="AU70" s="253">
        <f t="shared" si="83"/>
        <v>-1.5828283417590193E-5</v>
      </c>
    </row>
    <row r="71" spans="1:47" x14ac:dyDescent="0.15">
      <c r="C71" s="213"/>
      <c r="D71" s="260"/>
      <c r="E71" s="213"/>
      <c r="F71" s="213"/>
      <c r="G71" s="213"/>
      <c r="H71" s="260"/>
      <c r="I71" s="213"/>
      <c r="J71" s="213"/>
      <c r="K71" s="213"/>
      <c r="L71" s="260"/>
      <c r="M71" s="213"/>
      <c r="N71" s="213"/>
      <c r="O71" s="213"/>
      <c r="P71" s="260"/>
      <c r="Q71" s="213"/>
      <c r="R71" s="213"/>
      <c r="S71" s="213"/>
      <c r="T71" s="260"/>
      <c r="U71" s="213"/>
      <c r="V71" s="213"/>
      <c r="W71" s="213"/>
      <c r="X71" s="260"/>
      <c r="Y71" s="213"/>
      <c r="Z71" s="213"/>
      <c r="AA71" s="213"/>
      <c r="AB71" s="260"/>
      <c r="AC71" s="213"/>
      <c r="AD71" s="213"/>
      <c r="AE71" s="213"/>
      <c r="AF71" s="260"/>
      <c r="AG71" s="213"/>
      <c r="AH71" s="213"/>
      <c r="AI71" s="213"/>
      <c r="AJ71" s="260"/>
      <c r="AK71" s="213"/>
      <c r="AL71" s="248"/>
      <c r="AM71" s="213"/>
      <c r="AN71" s="213"/>
      <c r="AO71" s="213"/>
      <c r="AP71" s="213"/>
      <c r="AQ71" s="213"/>
      <c r="AR71" s="213"/>
      <c r="AS71" s="213"/>
      <c r="AT71" s="213"/>
      <c r="AU71" s="213"/>
    </row>
    <row r="72" spans="1:47" x14ac:dyDescent="0.15">
      <c r="B72" s="238" t="s">
        <v>42</v>
      </c>
      <c r="C72" s="213"/>
      <c r="D72" s="260"/>
      <c r="E72" s="213"/>
      <c r="F72" s="213"/>
      <c r="G72" s="213"/>
      <c r="H72" s="260"/>
      <c r="I72" s="213"/>
      <c r="J72" s="213"/>
      <c r="K72" s="213"/>
      <c r="L72" s="260"/>
      <c r="M72" s="213"/>
      <c r="N72" s="213"/>
      <c r="O72" s="213"/>
      <c r="P72" s="260"/>
      <c r="Q72" s="213"/>
      <c r="R72" s="213"/>
      <c r="S72" s="213"/>
      <c r="T72" s="260"/>
      <c r="U72" s="213"/>
      <c r="V72" s="213"/>
      <c r="W72" s="213"/>
      <c r="X72" s="260"/>
      <c r="Y72" s="213"/>
      <c r="Z72" s="213"/>
      <c r="AA72" s="213"/>
      <c r="AB72" s="260"/>
      <c r="AC72" s="213"/>
      <c r="AD72" s="213"/>
      <c r="AE72" s="213"/>
      <c r="AF72" s="260"/>
      <c r="AG72" s="213"/>
      <c r="AH72" s="213"/>
      <c r="AI72" s="213"/>
      <c r="AJ72" s="260"/>
      <c r="AK72" s="213"/>
      <c r="AL72" s="248"/>
      <c r="AM72" s="213"/>
      <c r="AN72" s="213"/>
      <c r="AO72" s="213"/>
      <c r="AP72" s="213"/>
      <c r="AQ72" s="213"/>
      <c r="AR72" s="213"/>
      <c r="AS72" s="213"/>
      <c r="AT72" s="213"/>
      <c r="AU72" s="213"/>
    </row>
    <row r="73" spans="1:47" x14ac:dyDescent="0.15">
      <c r="B73" s="8" t="s">
        <v>43</v>
      </c>
      <c r="C73" s="247">
        <f>+'Nordnet by quarter (old)'!BI49</f>
        <v>6944200</v>
      </c>
      <c r="D73" s="258">
        <f>+'Nordnet by quarter (old)'!BJ49</f>
        <v>6745200</v>
      </c>
      <c r="E73" s="247">
        <f>+'Nordnet by quarter (old)'!BK49</f>
        <v>5976200</v>
      </c>
      <c r="F73" s="247">
        <f>+'Nordnet by quarter (old)'!BL49</f>
        <v>6413900</v>
      </c>
      <c r="G73" s="247">
        <f>+'Nordnet by quarter (old)'!BM49</f>
        <v>6984500</v>
      </c>
      <c r="H73" s="258">
        <f>+'Nordnet by quarter (old)'!BN49</f>
        <v>6935400</v>
      </c>
      <c r="I73" s="247">
        <f>+'Nordnet by quarter (old)'!BO49</f>
        <v>6582700</v>
      </c>
      <c r="J73" s="247">
        <f>+'Nordnet by quarter (old)'!BP49</f>
        <v>7316400</v>
      </c>
      <c r="K73" s="247">
        <f>+'Nordnet by quarter (old)'!BQ49</f>
        <v>7587800</v>
      </c>
      <c r="L73" s="258">
        <f>+'Nordnet by quarter (old)'!BR49</f>
        <v>14126900</v>
      </c>
      <c r="M73" s="247">
        <f>+'Nordnet by quarter (old)'!BS49</f>
        <v>14474600</v>
      </c>
      <c r="N73" s="247">
        <v>13477400</v>
      </c>
      <c r="O73" s="247">
        <v>16451000</v>
      </c>
      <c r="P73" s="258">
        <v>22734000</v>
      </c>
      <c r="Q73" s="247">
        <v>16301000</v>
      </c>
      <c r="R73" s="247">
        <v>15697200</v>
      </c>
      <c r="S73" s="247">
        <v>16890700</v>
      </c>
      <c r="T73" s="258">
        <v>17305900</v>
      </c>
      <c r="U73" s="247">
        <v>13070300</v>
      </c>
      <c r="V73" s="247">
        <v>13139800</v>
      </c>
      <c r="W73" s="247">
        <v>12663600</v>
      </c>
      <c r="X73" s="258">
        <v>14429200</v>
      </c>
      <c r="Y73" s="247">
        <v>10944200</v>
      </c>
      <c r="Z73" s="247">
        <v>11339500</v>
      </c>
      <c r="AA73" s="247">
        <v>12148800</v>
      </c>
      <c r="AB73" s="258">
        <v>13392400</v>
      </c>
      <c r="AC73" s="247">
        <v>12769400</v>
      </c>
      <c r="AD73" s="247">
        <v>12867500</v>
      </c>
      <c r="AE73" s="247">
        <v>13844800</v>
      </c>
      <c r="AF73" s="258">
        <v>16333400</v>
      </c>
      <c r="AG73" s="247">
        <v>15050500</v>
      </c>
      <c r="AH73" s="247">
        <v>15741300</v>
      </c>
      <c r="AI73" s="247">
        <v>16125800</v>
      </c>
      <c r="AJ73" s="258">
        <v>18816900</v>
      </c>
      <c r="AK73" s="247">
        <v>17615000</v>
      </c>
      <c r="AL73" s="248"/>
      <c r="AM73" s="247">
        <f>+'Nordnet by quarter (old)'!CI49</f>
        <v>26181300</v>
      </c>
      <c r="AN73" s="247">
        <f>+'Nordnet by quarter (old)'!CJ49</f>
        <v>26119800</v>
      </c>
      <c r="AO73" s="247">
        <f>SUM(H73:K73)</f>
        <v>28422300</v>
      </c>
      <c r="AP73" s="247">
        <f>SUM(L73:O73)</f>
        <v>58529900</v>
      </c>
      <c r="AQ73" s="247">
        <f>SUM(P73:S73)</f>
        <v>71622900</v>
      </c>
      <c r="AR73" s="247">
        <f>SUM(T73:W73)</f>
        <v>56179600</v>
      </c>
      <c r="AS73" s="247">
        <f>SUM(X73:AA73)</f>
        <v>48861700</v>
      </c>
      <c r="AT73" s="247">
        <f>SUM(AB73:AE73)</f>
        <v>52874100</v>
      </c>
      <c r="AU73" s="247">
        <f>SUM(AF73:AI73)</f>
        <v>63251000</v>
      </c>
    </row>
    <row r="74" spans="1:47" x14ac:dyDescent="0.15">
      <c r="B74" s="8" t="s">
        <v>49</v>
      </c>
      <c r="C74" s="247">
        <f>+'Nordnet by quarter (old)'!BI50</f>
        <v>1384200</v>
      </c>
      <c r="D74" s="258">
        <f>+'Nordnet by quarter (old)'!BJ50</f>
        <v>1355400</v>
      </c>
      <c r="E74" s="247">
        <f>+'Nordnet by quarter (old)'!BK50</f>
        <v>1098400</v>
      </c>
      <c r="F74" s="247">
        <f>+'Nordnet by quarter (old)'!BL50</f>
        <v>1330000</v>
      </c>
      <c r="G74" s="247">
        <f>+'Nordnet by quarter (old)'!BM50</f>
        <v>1356700</v>
      </c>
      <c r="H74" s="258">
        <f>+'Nordnet by quarter (old)'!BN50</f>
        <v>1412400</v>
      </c>
      <c r="I74" s="247">
        <f>+'Nordnet by quarter (old)'!BO50</f>
        <v>1306900</v>
      </c>
      <c r="J74" s="247">
        <f>+'Nordnet by quarter (old)'!BP50</f>
        <v>1406400</v>
      </c>
      <c r="K74" s="247">
        <f>+'Nordnet by quarter (old)'!BQ50</f>
        <v>1503400</v>
      </c>
      <c r="L74" s="258">
        <f>+'Nordnet by quarter (old)'!BR50</f>
        <v>2878400</v>
      </c>
      <c r="M74" s="247">
        <f>+'Nordnet by quarter (old)'!BS50</f>
        <v>3369000</v>
      </c>
      <c r="N74" s="247">
        <v>3287100</v>
      </c>
      <c r="O74" s="247">
        <v>4392000</v>
      </c>
      <c r="P74" s="258">
        <v>7676400</v>
      </c>
      <c r="Q74" s="247">
        <v>4788600</v>
      </c>
      <c r="R74" s="247">
        <v>4525000</v>
      </c>
      <c r="S74" s="247">
        <v>5096900</v>
      </c>
      <c r="T74" s="258">
        <v>4568600</v>
      </c>
      <c r="U74" s="247">
        <v>3492400</v>
      </c>
      <c r="V74" s="247">
        <v>3508900</v>
      </c>
      <c r="W74" s="247">
        <v>3257900</v>
      </c>
      <c r="X74" s="258">
        <v>3677900</v>
      </c>
      <c r="Y74" s="247">
        <v>2923200</v>
      </c>
      <c r="Z74" s="247">
        <v>3327700</v>
      </c>
      <c r="AA74" s="247">
        <v>3130200</v>
      </c>
      <c r="AB74" s="258">
        <v>3884500</v>
      </c>
      <c r="AC74" s="247">
        <v>3834300</v>
      </c>
      <c r="AD74" s="247">
        <v>3705900</v>
      </c>
      <c r="AE74" s="247">
        <v>4643400</v>
      </c>
      <c r="AF74" s="258">
        <v>5692900</v>
      </c>
      <c r="AG74" s="247">
        <v>5022700</v>
      </c>
      <c r="AH74" s="247">
        <v>5935100</v>
      </c>
      <c r="AI74" s="247">
        <v>6840900</v>
      </c>
      <c r="AJ74" s="258">
        <v>7384500</v>
      </c>
      <c r="AK74" s="247">
        <v>7513000</v>
      </c>
      <c r="AL74" s="248"/>
      <c r="AM74" s="247">
        <v>4897700</v>
      </c>
      <c r="AN74" s="247">
        <f>+'Nordnet by quarter (old)'!CJ50</f>
        <v>5140500</v>
      </c>
      <c r="AO74" s="247">
        <f>SUM(H74:K74)</f>
        <v>5629100</v>
      </c>
      <c r="AP74" s="247">
        <f>SUM(L74:O74)</f>
        <v>13926500</v>
      </c>
      <c r="AQ74" s="247">
        <f>SUM(P74:S74)</f>
        <v>22086900</v>
      </c>
      <c r="AR74" s="247">
        <f>SUM(T74:W74)</f>
        <v>14827800</v>
      </c>
      <c r="AS74" s="247">
        <f>SUM(X74:AA74)</f>
        <v>13059000</v>
      </c>
      <c r="AT74" s="247">
        <f>SUM(AB74:AE74)</f>
        <v>16068100</v>
      </c>
      <c r="AU74" s="247">
        <f>SUM(AF74:AI74)</f>
        <v>23491600</v>
      </c>
    </row>
    <row r="75" spans="1:47" x14ac:dyDescent="0.15">
      <c r="B75" s="8" t="s">
        <v>45</v>
      </c>
      <c r="C75" s="247"/>
      <c r="D75" s="258">
        <f>+'Nordnet by quarter (old)'!BJ51</f>
        <v>205505.77565900001</v>
      </c>
      <c r="E75" s="247">
        <f>+'Nordnet by quarter (old)'!BK51</f>
        <v>183936.87277799999</v>
      </c>
      <c r="F75" s="247">
        <f>+'Nordnet by quarter (old)'!BL51</f>
        <v>183001.127735496</v>
      </c>
      <c r="G75" s="247">
        <f>+'Nordnet by quarter (old)'!BM51</f>
        <v>202444.9612247732</v>
      </c>
      <c r="H75" s="258">
        <f>+'Nordnet by quarter (old)'!BN51</f>
        <v>199931.80231100001</v>
      </c>
      <c r="I75" s="247">
        <f>+'Nordnet by quarter (old)'!BO51</f>
        <v>185629.83219972061</v>
      </c>
      <c r="J75" s="247">
        <f>+'Nordnet by quarter (old)'!BP51</f>
        <v>192783.815863</v>
      </c>
      <c r="K75" s="247">
        <f>+'Nordnet by quarter (old)'!BQ51</f>
        <v>211705.48254479506</v>
      </c>
      <c r="L75" s="258">
        <f>+'Nordnet by quarter (old)'!BR51</f>
        <v>410735.94233819097</v>
      </c>
      <c r="M75" s="247">
        <f>+'Nordnet by quarter (old)'!BS51</f>
        <v>371659.31</v>
      </c>
      <c r="N75" s="247">
        <v>341958.36308099999</v>
      </c>
      <c r="O75" s="247">
        <v>414200</v>
      </c>
      <c r="P75" s="258">
        <v>573900</v>
      </c>
      <c r="Q75" s="247">
        <v>416200</v>
      </c>
      <c r="R75" s="247">
        <v>386800</v>
      </c>
      <c r="S75" s="247">
        <v>454800</v>
      </c>
      <c r="T75" s="258">
        <v>509300</v>
      </c>
      <c r="U75" s="247">
        <v>372200</v>
      </c>
      <c r="V75" s="247">
        <v>370800</v>
      </c>
      <c r="W75" s="247">
        <v>358600</v>
      </c>
      <c r="X75" s="258">
        <v>404800</v>
      </c>
      <c r="Y75" s="247">
        <v>275500</v>
      </c>
      <c r="Z75" s="247">
        <v>290900</v>
      </c>
      <c r="AA75" s="247">
        <v>319700</v>
      </c>
      <c r="AB75" s="258">
        <v>383000</v>
      </c>
      <c r="AC75" s="247">
        <v>365000</v>
      </c>
      <c r="AD75" s="247">
        <v>342600</v>
      </c>
      <c r="AE75" s="247">
        <v>381800</v>
      </c>
      <c r="AF75" s="258">
        <v>460600</v>
      </c>
      <c r="AG75" s="247">
        <v>402100</v>
      </c>
      <c r="AH75" s="247">
        <v>403700</v>
      </c>
      <c r="AI75" s="247">
        <v>439600</v>
      </c>
      <c r="AJ75" s="258">
        <v>559300</v>
      </c>
      <c r="AK75" s="247">
        <v>532300</v>
      </c>
      <c r="AL75" s="248"/>
      <c r="AM75" s="247">
        <f>+'Nordnet by quarter (old)'!CI51</f>
        <v>766052.81868729834</v>
      </c>
      <c r="AN75" s="247">
        <f>+'Nordnet by quarter (old)'!CJ51</f>
        <v>774888.73739726923</v>
      </c>
      <c r="AO75" s="247">
        <f>SUM(H75:K75)</f>
        <v>790050.93291851564</v>
      </c>
      <c r="AP75" s="247">
        <f>SUM(L75:O75)</f>
        <v>1538553.6154191911</v>
      </c>
      <c r="AQ75" s="247">
        <f>SUM(P75:S75)</f>
        <v>1831700</v>
      </c>
      <c r="AR75" s="247">
        <f>SUM(T75:W75)</f>
        <v>1610900</v>
      </c>
      <c r="AS75" s="247">
        <f>SUM(X75:AA75)</f>
        <v>1290900</v>
      </c>
      <c r="AT75" s="247">
        <f>SUM(AB75:AE75)</f>
        <v>1472400</v>
      </c>
      <c r="AU75" s="247">
        <f>SUM(AF75:AI75)</f>
        <v>1706000</v>
      </c>
    </row>
    <row r="76" spans="1:47" x14ac:dyDescent="0.15">
      <c r="B76" s="8" t="s">
        <v>395</v>
      </c>
      <c r="C76" s="247"/>
      <c r="D76" s="258">
        <v>40600</v>
      </c>
      <c r="E76" s="247">
        <v>34800</v>
      </c>
      <c r="F76" s="247">
        <v>38400</v>
      </c>
      <c r="G76" s="247">
        <v>40000</v>
      </c>
      <c r="H76" s="258">
        <v>38600</v>
      </c>
      <c r="I76" s="247">
        <v>36200</v>
      </c>
      <c r="J76" s="247">
        <v>36100</v>
      </c>
      <c r="K76" s="247">
        <v>38100</v>
      </c>
      <c r="L76" s="258">
        <v>91900</v>
      </c>
      <c r="M76" s="247">
        <v>86300</v>
      </c>
      <c r="N76" s="247">
        <v>93500</v>
      </c>
      <c r="O76" s="247">
        <v>121900</v>
      </c>
      <c r="P76" s="258">
        <v>196000</v>
      </c>
      <c r="Q76" s="247">
        <v>119800</v>
      </c>
      <c r="R76" s="247">
        <v>101800</v>
      </c>
      <c r="S76" s="247">
        <v>131200</v>
      </c>
      <c r="T76" s="258">
        <v>133600</v>
      </c>
      <c r="U76" s="247">
        <v>94000</v>
      </c>
      <c r="V76" s="247">
        <v>91900</v>
      </c>
      <c r="W76" s="247">
        <v>79300</v>
      </c>
      <c r="X76" s="258">
        <v>92100</v>
      </c>
      <c r="Y76" s="247">
        <v>68100</v>
      </c>
      <c r="Z76" s="247">
        <v>73000</v>
      </c>
      <c r="AA76" s="247">
        <v>75200</v>
      </c>
      <c r="AB76" s="258">
        <v>112500</v>
      </c>
      <c r="AC76" s="247">
        <v>111000</v>
      </c>
      <c r="AD76" s="247">
        <v>98100</v>
      </c>
      <c r="AE76" s="247">
        <v>136600</v>
      </c>
      <c r="AF76" s="258">
        <v>169500</v>
      </c>
      <c r="AG76" s="247">
        <v>134000</v>
      </c>
      <c r="AH76" s="247">
        <v>147100</v>
      </c>
      <c r="AI76" s="247">
        <v>173800</v>
      </c>
      <c r="AJ76" s="258">
        <v>196000</v>
      </c>
      <c r="AK76" s="247">
        <v>211700</v>
      </c>
      <c r="AL76" s="248"/>
      <c r="AM76" s="247">
        <v>141600</v>
      </c>
      <c r="AN76" s="247">
        <f>+SUM(D76:G76)</f>
        <v>153800</v>
      </c>
      <c r="AO76" s="247">
        <f>SUM(H76:K76)</f>
        <v>149000</v>
      </c>
      <c r="AP76" s="247">
        <f>SUM(L76:O76)</f>
        <v>393600</v>
      </c>
      <c r="AQ76" s="247">
        <f>SUM(P76:S76)</f>
        <v>548800</v>
      </c>
      <c r="AR76" s="247">
        <f>SUM(T76:W76)</f>
        <v>398800</v>
      </c>
      <c r="AS76" s="247">
        <f>SUM(X76:AA76)</f>
        <v>308400</v>
      </c>
      <c r="AT76" s="247">
        <f>SUM(AB76:AE76)</f>
        <v>458200</v>
      </c>
      <c r="AU76" s="247">
        <f>SUM(AF76:AI76)</f>
        <v>624400</v>
      </c>
    </row>
    <row r="77" spans="1:47" x14ac:dyDescent="0.15">
      <c r="B77" s="6" t="s">
        <v>46</v>
      </c>
      <c r="C77" s="247"/>
      <c r="D77" s="258">
        <f>+'Nordnet by quarter (old)'!BJ52</f>
        <v>62</v>
      </c>
      <c r="E77" s="247">
        <f>+'Nordnet by quarter (old)'!BK52</f>
        <v>59</v>
      </c>
      <c r="F77" s="247">
        <f>+'Nordnet by quarter (old)'!BL52</f>
        <v>65</v>
      </c>
      <c r="G77" s="247">
        <f>+'Nordnet by quarter (old)'!BM52</f>
        <v>61.5</v>
      </c>
      <c r="H77" s="258">
        <f>+'Nordnet by quarter (old)'!BN52</f>
        <v>63</v>
      </c>
      <c r="I77" s="247">
        <f>+'Nordnet by quarter (old)'!BO52</f>
        <v>56.5</v>
      </c>
      <c r="J77" s="247">
        <f>+'Nordnet by quarter (old)'!BP52</f>
        <v>66</v>
      </c>
      <c r="K77" s="247">
        <f>+'Nordnet by quarter (old)'!BQ52</f>
        <v>61.5</v>
      </c>
      <c r="L77" s="258">
        <f>+'Nordnet by quarter (old)'!BR52</f>
        <v>63</v>
      </c>
      <c r="M77" s="247">
        <f>+'Nordnet by quarter (old)'!BS52</f>
        <v>58.5</v>
      </c>
      <c r="N77" s="247">
        <v>66</v>
      </c>
      <c r="O77" s="247">
        <v>62.5</v>
      </c>
      <c r="P77" s="258">
        <v>61.5</v>
      </c>
      <c r="Q77" s="247">
        <v>59.5</v>
      </c>
      <c r="R77" s="247">
        <v>66</v>
      </c>
      <c r="S77" s="247">
        <v>63.5</v>
      </c>
      <c r="T77" s="258">
        <v>62.5</v>
      </c>
      <c r="U77" s="247">
        <v>59</v>
      </c>
      <c r="V77" s="247">
        <v>66</v>
      </c>
      <c r="W77" s="247">
        <v>63.5</v>
      </c>
      <c r="X77" s="258">
        <v>63.5</v>
      </c>
      <c r="Y77" s="247">
        <v>58</v>
      </c>
      <c r="Z77" s="247">
        <v>65</v>
      </c>
      <c r="AA77" s="247">
        <v>62.5</v>
      </c>
      <c r="AB77" s="258">
        <v>62</v>
      </c>
      <c r="AC77" s="247">
        <v>59</v>
      </c>
      <c r="AD77" s="247">
        <v>66</v>
      </c>
      <c r="AE77" s="247">
        <v>61.5</v>
      </c>
      <c r="AF77" s="258">
        <v>62</v>
      </c>
      <c r="AG77" s="247">
        <v>57.5</v>
      </c>
      <c r="AH77" s="247">
        <v>66</v>
      </c>
      <c r="AI77" s="247">
        <v>61.5</v>
      </c>
      <c r="AJ77" s="258">
        <v>61.5</v>
      </c>
      <c r="AK77" s="247">
        <v>58.5</v>
      </c>
      <c r="AL77" s="248"/>
      <c r="AM77" s="247">
        <f>+'Nordnet by quarter (old)'!CI52</f>
        <v>249</v>
      </c>
      <c r="AN77" s="247">
        <f>+'Nordnet by quarter (old)'!CJ52</f>
        <v>247.5</v>
      </c>
      <c r="AO77" s="247">
        <f>SUM(H77:K77)</f>
        <v>247</v>
      </c>
      <c r="AP77" s="247">
        <f>SUM(L77:O77)</f>
        <v>250</v>
      </c>
      <c r="AQ77" s="247">
        <f>SUM(P77:S77)</f>
        <v>250.5</v>
      </c>
      <c r="AR77" s="247">
        <f>SUM(T77:W77)</f>
        <v>251</v>
      </c>
      <c r="AS77" s="247">
        <f>SUM(X77:AA77)</f>
        <v>249</v>
      </c>
      <c r="AT77" s="247">
        <f>SUM(AB77:AE77)</f>
        <v>248.5</v>
      </c>
      <c r="AU77" s="247">
        <f>SUM(AF77:AI77)</f>
        <v>247</v>
      </c>
    </row>
    <row r="78" spans="1:47" x14ac:dyDescent="0.15">
      <c r="B78" s="6" t="s">
        <v>47</v>
      </c>
      <c r="C78" s="254"/>
      <c r="D78" s="265">
        <f>+D73/D77/AVERAGE(C44:D44)</f>
        <v>0.15907815234258924</v>
      </c>
      <c r="E78" s="254">
        <f>+E73/E77/AVERAGE(D44:E44)</f>
        <v>0.143016626083627</v>
      </c>
      <c r="F78" s="254">
        <f>+F73/F77/AVERAGE(E44:F44)</f>
        <v>0.13519027896339855</v>
      </c>
      <c r="G78" s="254">
        <f>+G73/G77/AVERAGE(F44:G44)</f>
        <v>0.15072210443405032</v>
      </c>
      <c r="H78" s="265">
        <f t="shared" ref="H78:R78" si="84">+H73/H77/AVERAGE(G44:H44)</f>
        <v>0.14113553113553115</v>
      </c>
      <c r="I78" s="254">
        <f t="shared" si="84"/>
        <v>0.14125601915830494</v>
      </c>
      <c r="J78" s="254">
        <f t="shared" si="84"/>
        <v>0.12763908515203853</v>
      </c>
      <c r="K78" s="254">
        <f t="shared" si="84"/>
        <v>0.13740824344427874</v>
      </c>
      <c r="L78" s="265">
        <f t="shared" si="84"/>
        <v>0.23406733605063459</v>
      </c>
      <c r="M78" s="254">
        <f t="shared" si="84"/>
        <v>0.23887725413116417</v>
      </c>
      <c r="N78" s="254">
        <f t="shared" si="84"/>
        <v>0.18630813402949711</v>
      </c>
      <c r="O78" s="254">
        <f t="shared" si="84"/>
        <v>0.22454871182392083</v>
      </c>
      <c r="P78" s="265">
        <f t="shared" si="84"/>
        <v>0.28324154209284025</v>
      </c>
      <c r="Q78" s="254">
        <f t="shared" si="84"/>
        <v>0.19131730904652364</v>
      </c>
      <c r="R78" s="254">
        <f t="shared" si="84"/>
        <v>0.15789966050546964</v>
      </c>
      <c r="S78" s="254">
        <f>+S73/S77/AVERAGE(R44:S44)</f>
        <v>0.16952092001182284</v>
      </c>
      <c r="T78" s="265">
        <f>+T73/T77/AVERAGE(S44:T44)</f>
        <v>0.17198944066585919</v>
      </c>
      <c r="U78" s="254">
        <f>+U73/U77/AVERAGE(T44:U44)</f>
        <v>0.13582912319481055</v>
      </c>
      <c r="V78" s="254">
        <f>+V73/V77/AVERAGE(U44:V44)</f>
        <v>0.11991439770388723</v>
      </c>
      <c r="W78" s="254">
        <f t="shared" ref="W78:AH78" si="85">+W73/W77/AVERAGE(V44:W44)</f>
        <v>0.11781926071753955</v>
      </c>
      <c r="X78" s="265">
        <f t="shared" si="85"/>
        <v>0.13138945680013422</v>
      </c>
      <c r="Y78" s="254">
        <f t="shared" si="85"/>
        <v>0.10667859760757341</v>
      </c>
      <c r="Z78" s="254">
        <f t="shared" si="85"/>
        <v>9.6628916668797027E-2</v>
      </c>
      <c r="AA78" s="254">
        <f t="shared" si="85"/>
        <v>0.1054354523757865</v>
      </c>
      <c r="AB78" s="265">
        <f t="shared" si="85"/>
        <v>0.11416228085878295</v>
      </c>
      <c r="AC78" s="254">
        <f t="shared" si="85"/>
        <v>0.11109255131638243</v>
      </c>
      <c r="AD78" s="254">
        <f t="shared" si="85"/>
        <v>9.687799508664624E-2</v>
      </c>
      <c r="AE78" s="254">
        <f t="shared" si="85"/>
        <v>0.10859037151463599</v>
      </c>
      <c r="AF78" s="265">
        <f t="shared" si="85"/>
        <v>0.12362072006000374</v>
      </c>
      <c r="AG78" s="254">
        <f t="shared" si="85"/>
        <v>0.11929621534431271</v>
      </c>
      <c r="AH78" s="254">
        <f t="shared" si="85"/>
        <v>0.10566389573566606</v>
      </c>
      <c r="AI78" s="254">
        <f t="shared" ref="AI78:AK78" si="86">+AI73/AI77/AVERAGE(AH44:AI44)</f>
        <v>0.11294771918212397</v>
      </c>
      <c r="AJ78" s="265">
        <f t="shared" si="86"/>
        <v>0.12802722081240939</v>
      </c>
      <c r="AK78" s="254">
        <f t="shared" si="86"/>
        <v>0.12213478993717496</v>
      </c>
      <c r="AL78" s="248"/>
      <c r="AM78" s="254">
        <f>+AM73/AM77/AVERAGE('Nordnet by quarter (old)'!CH31:CI31)</f>
        <v>0.17012504349572061</v>
      </c>
      <c r="AN78" s="254">
        <f>+AN73/AN77/AVERAGE(AM44:AN44)</f>
        <v>0.14713774200703444</v>
      </c>
      <c r="AO78" s="254">
        <f>+AO73/AO77/AVERAGE(AN44:AO44)</f>
        <v>0.13708606205126275</v>
      </c>
      <c r="AP78" s="254">
        <f>+AP73/AP77/AVERAGE(AO44:AP44)</f>
        <v>0.21930551262235962</v>
      </c>
      <c r="AQ78" s="254">
        <f>+AQ73/AQ77/AVERAGE(AQ44:AQ44)</f>
        <v>0.17858823265399243</v>
      </c>
      <c r="AR78" s="254">
        <f>+AR73/AR77/AVERAGE(AR44:AR44)</f>
        <v>0.13105932051160624</v>
      </c>
      <c r="AS78" s="254">
        <f>+AS73/AS77/AVERAGE(AS44:AS44)</f>
        <v>0.10533669381482125</v>
      </c>
      <c r="AT78" s="254">
        <f>+AT73/AT77/AVERAGE(AT44:AT44)</f>
        <v>0.10149448494055345</v>
      </c>
      <c r="AU78" s="254">
        <f>+AU73/AU77/AVERAGE(AU44:AU44)</f>
        <v>0.10891792058054658</v>
      </c>
    </row>
    <row r="79" spans="1:47" x14ac:dyDescent="0.15">
      <c r="B79" s="6" t="s">
        <v>48</v>
      </c>
      <c r="C79" s="248"/>
      <c r="D79" s="263"/>
      <c r="E79" s="248"/>
      <c r="F79" s="248"/>
      <c r="G79" s="248"/>
      <c r="H79" s="263">
        <f t="shared" ref="H79:AA79" si="87">+H8/(H73/1000000)</f>
        <v>22.638565058546913</v>
      </c>
      <c r="I79" s="248">
        <f t="shared" si="87"/>
        <v>23.442705722901287</v>
      </c>
      <c r="J79" s="248">
        <f t="shared" si="87"/>
        <v>22.085606264831014</v>
      </c>
      <c r="K79" s="248">
        <f t="shared" si="87"/>
        <v>24.781031172497997</v>
      </c>
      <c r="L79" s="263">
        <f t="shared" si="87"/>
        <v>29.103685675519063</v>
      </c>
      <c r="M79" s="248">
        <f t="shared" si="87"/>
        <v>27.754236146617622</v>
      </c>
      <c r="N79" s="248">
        <f t="shared" si="87"/>
        <v>27.260686579251839</v>
      </c>
      <c r="O79" s="248">
        <f t="shared" si="87"/>
        <v>29.949604246711878</v>
      </c>
      <c r="P79" s="263">
        <f t="shared" si="87"/>
        <v>35.677969927883915</v>
      </c>
      <c r="Q79" s="248">
        <f t="shared" si="87"/>
        <v>28.392696562277898</v>
      </c>
      <c r="R79" s="248">
        <f t="shared" si="87"/>
        <v>28.375170261006737</v>
      </c>
      <c r="S79" s="248">
        <f t="shared" si="87"/>
        <v>29.671215846662363</v>
      </c>
      <c r="T79" s="263">
        <f t="shared" si="87"/>
        <v>30.884232454289052</v>
      </c>
      <c r="U79" s="248">
        <f t="shared" si="87"/>
        <v>27.581267074564938</v>
      </c>
      <c r="V79" s="248">
        <f t="shared" si="87"/>
        <v>29.005142397255742</v>
      </c>
      <c r="W79" s="248">
        <f t="shared" si="87"/>
        <v>27.094420605246931</v>
      </c>
      <c r="X79" s="263">
        <f t="shared" si="87"/>
        <v>29.037742716268941</v>
      </c>
      <c r="Y79" s="248">
        <f t="shared" si="87"/>
        <v>28.563706806478415</v>
      </c>
      <c r="Z79" s="248">
        <f t="shared" si="87"/>
        <v>29.426540617008516</v>
      </c>
      <c r="AA79" s="248">
        <f t="shared" si="87"/>
        <v>29.188705075233685</v>
      </c>
      <c r="AB79" s="263">
        <f t="shared" ref="AB79:AG79" si="88">+AB8/(AB73/1000000)</f>
        <v>33.967474089782264</v>
      </c>
      <c r="AC79" s="248">
        <f t="shared" si="88"/>
        <v>34.614938838159986</v>
      </c>
      <c r="AD79" s="248">
        <f t="shared" si="88"/>
        <v>33.482572372255682</v>
      </c>
      <c r="AE79" s="248">
        <f t="shared" si="88"/>
        <v>37.282445394660812</v>
      </c>
      <c r="AF79" s="263">
        <f t="shared" si="88"/>
        <v>39.847123072967051</v>
      </c>
      <c r="AG79" s="248">
        <f t="shared" si="88"/>
        <v>35.70333211521212</v>
      </c>
      <c r="AH79" s="248">
        <f t="shared" ref="AH79" si="89">+AH8/(AH73/1000000)</f>
        <v>36.609047537369847</v>
      </c>
      <c r="AI79" s="248">
        <f t="shared" ref="AI79:AK79" si="90">+AI8/(AI73/1000000)</f>
        <v>39.784258765456592</v>
      </c>
      <c r="AJ79" s="263">
        <f t="shared" si="90"/>
        <v>38.773177303381537</v>
      </c>
      <c r="AK79" s="248">
        <f t="shared" si="90"/>
        <v>41.901050241271648</v>
      </c>
      <c r="AL79" s="248"/>
      <c r="AM79" s="248">
        <f t="shared" ref="AM79:AU79" si="91">+AM8/(AM73/1000000)</f>
        <v>23.441003007893638</v>
      </c>
      <c r="AN79" s="248">
        <f t="shared" si="91"/>
        <v>23.604817736287622</v>
      </c>
      <c r="AO79" s="248">
        <f t="shared" si="91"/>
        <v>23.254431945193684</v>
      </c>
      <c r="AP79" s="248">
        <f t="shared" si="91"/>
        <v>28.583346980999242</v>
      </c>
      <c r="AQ79" s="248">
        <f t="shared" si="91"/>
        <v>31.002802778503799</v>
      </c>
      <c r="AR79" s="248">
        <f t="shared" si="91"/>
        <v>28.822019884859152</v>
      </c>
      <c r="AS79" s="248">
        <f t="shared" si="91"/>
        <v>29.059331025683019</v>
      </c>
      <c r="AT79" s="248">
        <f t="shared" si="91"/>
        <v>34.873841824258008</v>
      </c>
      <c r="AU79" s="248">
        <f t="shared" si="91"/>
        <v>38.039224676289699</v>
      </c>
    </row>
    <row r="80" spans="1:47" x14ac:dyDescent="0.15">
      <c r="C80" s="245"/>
      <c r="D80" s="266"/>
      <c r="E80" s="245"/>
      <c r="F80" s="245"/>
      <c r="G80" s="245"/>
      <c r="H80" s="266"/>
      <c r="I80" s="245"/>
      <c r="J80" s="245"/>
      <c r="K80" s="245"/>
      <c r="L80" s="266"/>
      <c r="M80" s="245"/>
      <c r="N80" s="245"/>
      <c r="O80" s="245"/>
      <c r="P80" s="266"/>
      <c r="Q80" s="245"/>
      <c r="R80" s="245"/>
      <c r="S80" s="245"/>
      <c r="T80" s="266"/>
      <c r="U80" s="285"/>
      <c r="V80" s="285"/>
      <c r="W80" s="285"/>
      <c r="X80" s="266"/>
      <c r="Y80" s="285"/>
      <c r="Z80" s="285"/>
      <c r="AA80" s="285"/>
      <c r="AB80" s="289"/>
      <c r="AC80" s="285"/>
      <c r="AD80" s="285"/>
      <c r="AE80" s="285"/>
      <c r="AF80" s="289"/>
      <c r="AG80" s="298"/>
      <c r="AH80" s="298"/>
      <c r="AI80" s="298"/>
      <c r="AJ80" s="289"/>
      <c r="AK80" s="298"/>
      <c r="AL80" s="248"/>
      <c r="AM80" s="298"/>
      <c r="AN80" s="298"/>
      <c r="AO80" s="298"/>
      <c r="AP80" s="298"/>
      <c r="AQ80" s="298"/>
      <c r="AR80" s="298"/>
      <c r="AS80" s="298"/>
      <c r="AT80" s="298"/>
      <c r="AU80" s="245"/>
    </row>
    <row r="81" spans="2:47" x14ac:dyDescent="0.15">
      <c r="B81" s="239" t="s">
        <v>50</v>
      </c>
      <c r="D81" s="257"/>
      <c r="H81" s="267"/>
      <c r="I81" s="255"/>
      <c r="J81" s="255"/>
      <c r="K81" s="255"/>
      <c r="L81" s="267"/>
      <c r="M81" s="255"/>
      <c r="N81" s="255"/>
      <c r="O81" s="255"/>
      <c r="P81" s="267"/>
      <c r="Q81" s="255"/>
      <c r="R81" s="255"/>
      <c r="S81" s="255"/>
      <c r="T81" s="267"/>
      <c r="U81" s="255"/>
      <c r="V81" s="255"/>
      <c r="W81" s="255"/>
      <c r="X81" s="267"/>
      <c r="Y81" s="255"/>
      <c r="Z81" s="255"/>
      <c r="AA81" s="255"/>
      <c r="AB81" s="267"/>
      <c r="AC81" s="255"/>
      <c r="AD81" s="255"/>
      <c r="AE81" s="255"/>
      <c r="AF81" s="267"/>
      <c r="AG81" s="255"/>
      <c r="AH81" s="255"/>
      <c r="AI81" s="255"/>
      <c r="AJ81" s="267"/>
      <c r="AK81" s="255"/>
      <c r="AL81" s="248"/>
      <c r="AM81" s="255"/>
      <c r="AN81" s="255"/>
      <c r="AO81" s="255"/>
      <c r="AP81" s="255"/>
      <c r="AQ81" s="255"/>
      <c r="AR81" s="255"/>
      <c r="AS81" s="255"/>
      <c r="AT81" s="255"/>
    </row>
    <row r="82" spans="2:47" x14ac:dyDescent="0.15">
      <c r="B82" s="15" t="s">
        <v>263</v>
      </c>
      <c r="C82" s="252"/>
      <c r="D82" s="268"/>
      <c r="E82" s="252"/>
      <c r="F82" s="252"/>
      <c r="G82" s="252"/>
      <c r="H82" s="268">
        <f t="shared" ref="H82:AH82" si="92">+H8/AVERAGE(G55:H55)*4</f>
        <v>3.127426413608404E-3</v>
      </c>
      <c r="I82" s="252">
        <f t="shared" si="92"/>
        <v>2.7172292728677321E-3</v>
      </c>
      <c r="J82" s="252">
        <f t="shared" si="92"/>
        <v>2.679255594781891E-3</v>
      </c>
      <c r="K82" s="252">
        <f t="shared" si="92"/>
        <v>2.9352264058265447E-3</v>
      </c>
      <c r="L82" s="268">
        <f t="shared" si="92"/>
        <v>6.6967564010929339E-3</v>
      </c>
      <c r="M82" s="252">
        <f t="shared" si="92"/>
        <v>6.3429741677439597E-3</v>
      </c>
      <c r="N82" s="252">
        <f t="shared" si="92"/>
        <v>4.7982201461006704E-3</v>
      </c>
      <c r="O82" s="252">
        <f t="shared" si="92"/>
        <v>5.37387775994916E-3</v>
      </c>
      <c r="P82" s="268">
        <f t="shared" si="92"/>
        <v>7.4637370847317665E-3</v>
      </c>
      <c r="Q82" s="252">
        <f t="shared" si="92"/>
        <v>3.8141215460856183E-3</v>
      </c>
      <c r="R82" s="252">
        <f t="shared" si="92"/>
        <v>3.4829004388401688E-3</v>
      </c>
      <c r="S82" s="252">
        <f t="shared" si="92"/>
        <v>3.6761021812769996E-3</v>
      </c>
      <c r="T82" s="268">
        <f t="shared" si="92"/>
        <v>3.815768320984363E-3</v>
      </c>
      <c r="U82" s="252">
        <f t="shared" si="92"/>
        <v>2.8264730191480177E-3</v>
      </c>
      <c r="V82" s="252">
        <f t="shared" si="92"/>
        <v>3.2616674981243783E-3</v>
      </c>
      <c r="W82" s="252">
        <f t="shared" si="92"/>
        <v>2.8849684567899946E-3</v>
      </c>
      <c r="X82" s="268">
        <f t="shared" si="92"/>
        <v>3.2771787307639762E-3</v>
      </c>
      <c r="Y82" s="252">
        <f t="shared" si="92"/>
        <v>2.2943416668211197E-3</v>
      </c>
      <c r="Z82" s="252">
        <f t="shared" si="92"/>
        <v>2.4221779152451654E-3</v>
      </c>
      <c r="AA82" s="252">
        <f t="shared" si="92"/>
        <v>2.5361505509212583E-3</v>
      </c>
      <c r="AB82" s="268">
        <f t="shared" si="92"/>
        <v>3.0294752264251467E-3</v>
      </c>
      <c r="AC82" s="252">
        <f t="shared" si="92"/>
        <v>2.7320950644373707E-3</v>
      </c>
      <c r="AD82" s="252">
        <f t="shared" si="92"/>
        <v>2.5619516256113694E-3</v>
      </c>
      <c r="AE82" s="252">
        <f t="shared" si="92"/>
        <v>2.9867808526335585E-3</v>
      </c>
      <c r="AF82" s="268">
        <f t="shared" si="92"/>
        <v>3.8171535816660927E-3</v>
      </c>
      <c r="AG82" s="299">
        <f t="shared" si="92"/>
        <v>3.1130595988123687E-3</v>
      </c>
      <c r="AH82" s="299">
        <f t="shared" si="92"/>
        <v>3.0740146559714082E-3</v>
      </c>
      <c r="AI82" s="299">
        <f>+AI8/AVERAGE(AH55:AI55)*4</f>
        <v>3.246048079538052E-3</v>
      </c>
      <c r="AJ82" s="268">
        <f>+AJ8/AVERAGE(AI55:AJ55)*4</f>
        <v>3.6206417835453796E-3</v>
      </c>
      <c r="AK82" s="299">
        <f t="shared" ref="AK82:AK83" si="93">+AK8/AVERAGE(AJ55:AK55)*4</f>
        <v>3.4115020626061636E-3</v>
      </c>
      <c r="AL82" s="302"/>
      <c r="AM82" s="299"/>
      <c r="AN82" s="299">
        <f>+AN8/AVERAGE(AM55:AN55)</f>
        <v>3.3873199146053877E-3</v>
      </c>
      <c r="AO82" s="299">
        <f>+AO8/AVERAGE(G55:K55)</f>
        <v>2.8684351022792722E-3</v>
      </c>
      <c r="AP82" s="299">
        <f>+AP8/AVERAGE(K55:O55)</f>
        <v>5.5464922205637887E-3</v>
      </c>
      <c r="AQ82" s="299">
        <f>+AQ8/AVERAGE(O55:S55)</f>
        <v>4.5025440481225466E-3</v>
      </c>
      <c r="AR82" s="299">
        <f>+AR8/AVERAGE(S55:W55)</f>
        <v>3.1809457685015798E-3</v>
      </c>
      <c r="AS82" s="299">
        <f>+AS8/AVERAGE(W55:AA55)</f>
        <v>2.6309916557236278E-3</v>
      </c>
      <c r="AT82" s="299">
        <f>+AT8/AVERAGE(AA55:AE55)</f>
        <v>2.8365340536748804E-3</v>
      </c>
      <c r="AU82" s="252">
        <f>+AU8/AVERAGE(AE55:AI55)</f>
        <v>3.2817822965201921E-3</v>
      </c>
    </row>
    <row r="83" spans="2:47" x14ac:dyDescent="0.15">
      <c r="B83" s="15" t="s">
        <v>346</v>
      </c>
      <c r="C83" s="252"/>
      <c r="D83" s="268"/>
      <c r="E83" s="252"/>
      <c r="F83" s="252"/>
      <c r="G83" s="252"/>
      <c r="H83" s="268">
        <f t="shared" ref="H83:AB83" si="94">+H9/AVERAGE(G56:H56)*4</f>
        <v>3.3707913392522562E-3</v>
      </c>
      <c r="I83" s="252">
        <f t="shared" si="94"/>
        <v>3.4034176112341073E-3</v>
      </c>
      <c r="J83" s="252">
        <f t="shared" si="94"/>
        <v>3.3130298945058066E-3</v>
      </c>
      <c r="K83" s="252">
        <f t="shared" si="94"/>
        <v>3.5426289316849236E-3</v>
      </c>
      <c r="L83" s="268">
        <f t="shared" si="94"/>
        <v>3.9431766043554429E-3</v>
      </c>
      <c r="M83" s="252">
        <f t="shared" si="94"/>
        <v>3.7884857543263721E-3</v>
      </c>
      <c r="N83" s="252">
        <f t="shared" si="94"/>
        <v>3.3964077153430211E-3</v>
      </c>
      <c r="O83" s="252">
        <f t="shared" si="94"/>
        <v>3.7697397695354261E-3</v>
      </c>
      <c r="P83" s="268">
        <f t="shared" si="94"/>
        <v>3.831887295159998E-3</v>
      </c>
      <c r="Q83" s="252">
        <f t="shared" si="94"/>
        <v>3.3715206717427207E-3</v>
      </c>
      <c r="R83" s="252">
        <f t="shared" si="94"/>
        <v>3.3541473187853632E-3</v>
      </c>
      <c r="S83" s="252">
        <f t="shared" si="94"/>
        <v>3.3139830421748898E-3</v>
      </c>
      <c r="T83" s="268">
        <f t="shared" si="94"/>
        <v>2.8850469551677553E-3</v>
      </c>
      <c r="U83" s="252">
        <f t="shared" si="94"/>
        <v>2.9581269441485195E-3</v>
      </c>
      <c r="V83" s="252">
        <f t="shared" si="94"/>
        <v>2.8845646038327972E-3</v>
      </c>
      <c r="W83" s="252">
        <f t="shared" si="94"/>
        <v>2.1871942521459495E-3</v>
      </c>
      <c r="X83" s="268">
        <f t="shared" si="94"/>
        <v>2.6542829478494291E-3</v>
      </c>
      <c r="Y83" s="252">
        <f t="shared" si="94"/>
        <v>2.5399716183151164E-3</v>
      </c>
      <c r="Z83" s="252">
        <f t="shared" si="94"/>
        <v>2.5395816303584503E-3</v>
      </c>
      <c r="AA83" s="252">
        <f t="shared" si="94"/>
        <v>2.5058935916873457E-3</v>
      </c>
      <c r="AB83" s="268">
        <f t="shared" si="94"/>
        <v>2.4675532183849923E-3</v>
      </c>
      <c r="AC83" s="252">
        <f t="shared" ref="AC83:AH83" si="95">+AC9/AVERAGE(AB56:AC56)*4</f>
        <v>2.4841598765291996E-3</v>
      </c>
      <c r="AD83" s="252">
        <f t="shared" si="95"/>
        <v>2.5062660907678889E-3</v>
      </c>
      <c r="AE83" s="252">
        <f t="shared" si="95"/>
        <v>2.5977904090945482E-3</v>
      </c>
      <c r="AF83" s="268">
        <f t="shared" si="95"/>
        <v>2.6561489349006501E-3</v>
      </c>
      <c r="AG83" s="299">
        <f t="shared" si="95"/>
        <v>2.3433624107850911E-3</v>
      </c>
      <c r="AH83" s="299">
        <f t="shared" si="95"/>
        <v>2.4173310225303292E-3</v>
      </c>
      <c r="AI83" s="299">
        <f>+AI9/AVERAGE(AH56:AI56)*4</f>
        <v>2.5025042312873478E-3</v>
      </c>
      <c r="AJ83" s="268">
        <f>+AJ9/AVERAGE(AI56:AJ56)*4</f>
        <v>2.4652049255042344E-3</v>
      </c>
      <c r="AK83" s="299">
        <f t="shared" si="93"/>
        <v>2.3796830361170426E-3</v>
      </c>
      <c r="AL83" s="302"/>
      <c r="AM83" s="299"/>
      <c r="AN83" s="299">
        <f>+AN9/AVERAGE(AM56:AN56)</f>
        <v>3.6626975258317088E-3</v>
      </c>
      <c r="AO83" s="299">
        <f>+AO9/AVERAGE(G56:K56)</f>
        <v>3.4230519324215452E-3</v>
      </c>
      <c r="AP83" s="299">
        <f>+AP9/AVERAGE(K56:O56)</f>
        <v>3.6259561829342104E-3</v>
      </c>
      <c r="AQ83" s="299">
        <f>+AQ9/AVERAGE(O56:S56)</f>
        <v>3.4562530328638139E-3</v>
      </c>
      <c r="AR83" s="299">
        <f>+AR9/AVERAGE(S56:W56)</f>
        <v>2.6945614121020498E-3</v>
      </c>
      <c r="AS83" s="299">
        <f>+AS9/AVERAGE(W56:AA56)</f>
        <v>2.5576946784682032E-3</v>
      </c>
      <c r="AT83" s="299">
        <f>+AT9/AVERAGE(AA56:AE56)</f>
        <v>2.5278180572729939E-3</v>
      </c>
      <c r="AU83" s="252">
        <f>+AU9/AVERAGE(AE56:AI56)</f>
        <v>2.4579054829431141E-3</v>
      </c>
    </row>
    <row r="84" spans="2:47" x14ac:dyDescent="0.15">
      <c r="B84" s="15" t="s">
        <v>262</v>
      </c>
      <c r="C84" s="252"/>
      <c r="D84" s="268"/>
      <c r="E84" s="252"/>
      <c r="F84" s="252"/>
      <c r="G84" s="252"/>
      <c r="H84" s="268">
        <f t="shared" ref="H84:AH84" si="96">+H11/((SUM(H55:H56)+SUM(G55:G56))/2)*4</f>
        <v>3.3030778359320924E-3</v>
      </c>
      <c r="I84" s="252">
        <f t="shared" si="96"/>
        <v>2.9691072368160341E-3</v>
      </c>
      <c r="J84" s="252">
        <f t="shared" si="96"/>
        <v>2.9393024258198498E-3</v>
      </c>
      <c r="K84" s="252">
        <f t="shared" si="96"/>
        <v>3.2550093387429869E-3</v>
      </c>
      <c r="L84" s="268">
        <f t="shared" si="96"/>
        <v>6.194197433205359E-3</v>
      </c>
      <c r="M84" s="252">
        <f t="shared" si="96"/>
        <v>5.908496174826733E-3</v>
      </c>
      <c r="N84" s="252">
        <f t="shared" si="96"/>
        <v>4.6267700797687069E-3</v>
      </c>
      <c r="O84" s="252">
        <f t="shared" si="96"/>
        <v>5.1677695189616376E-3</v>
      </c>
      <c r="P84" s="268">
        <f t="shared" si="96"/>
        <v>6.819102973228984E-3</v>
      </c>
      <c r="Q84" s="252">
        <f t="shared" si="96"/>
        <v>3.836980661669427E-3</v>
      </c>
      <c r="R84" s="252">
        <f t="shared" si="96"/>
        <v>3.574773603306553E-3</v>
      </c>
      <c r="S84" s="252">
        <f t="shared" si="96"/>
        <v>3.7067526906608026E-3</v>
      </c>
      <c r="T84" s="268">
        <f t="shared" si="96"/>
        <v>3.6799808354881659E-3</v>
      </c>
      <c r="U84" s="252">
        <f t="shared" si="96"/>
        <v>2.8689247170923878E-3</v>
      </c>
      <c r="V84" s="252">
        <f t="shared" si="96"/>
        <v>3.2377623661567481E-3</v>
      </c>
      <c r="W84" s="252">
        <f t="shared" si="96"/>
        <v>2.7788498246186471E-3</v>
      </c>
      <c r="X84" s="268">
        <f t="shared" si="96"/>
        <v>3.1752205153054644E-3</v>
      </c>
      <c r="Y84" s="252">
        <f t="shared" si="96"/>
        <v>2.4125942337776332E-3</v>
      </c>
      <c r="Z84" s="252">
        <f t="shared" si="96"/>
        <v>2.4829835667332894E-3</v>
      </c>
      <c r="AA84" s="252">
        <f t="shared" si="96"/>
        <v>2.5572024173287156E-3</v>
      </c>
      <c r="AB84" s="268">
        <f t="shared" si="96"/>
        <v>2.9015869039716435E-3</v>
      </c>
      <c r="AC84" s="252">
        <f t="shared" si="96"/>
        <v>2.6889069498002736E-3</v>
      </c>
      <c r="AD84" s="252">
        <f t="shared" si="96"/>
        <v>2.5058716596982368E-3</v>
      </c>
      <c r="AE84" s="252">
        <f t="shared" si="96"/>
        <v>2.8658683016502141E-3</v>
      </c>
      <c r="AF84" s="268">
        <f t="shared" si="96"/>
        <v>3.4990614956074569E-3</v>
      </c>
      <c r="AG84" s="299">
        <f t="shared" si="96"/>
        <v>2.8888346682225639E-3</v>
      </c>
      <c r="AH84" s="299">
        <f t="shared" si="96"/>
        <v>2.8903124709246811E-3</v>
      </c>
      <c r="AI84" s="299">
        <f t="shared" ref="AI84:AK84" si="97">+AI11/((SUM(AI55:AI56)+SUM(AH55:AH56))/2)*4</f>
        <v>3.0429849778950534E-3</v>
      </c>
      <c r="AJ84" s="268">
        <f t="shared" si="97"/>
        <v>3.2812075144665219E-3</v>
      </c>
      <c r="AK84" s="299">
        <f t="shared" si="97"/>
        <v>3.1046830392173234E-3</v>
      </c>
      <c r="AL84" s="302"/>
      <c r="AM84" s="299"/>
      <c r="AN84" s="299">
        <f>+AN11/((SUM(AN55:AN56)+SUM(AM55:AM56))/2)</f>
        <v>3.6217352427285808E-3</v>
      </c>
      <c r="AO84" s="299">
        <f>+AO11/(AVERAGE(G55:K55)+AVERAGE(G56:K56))</f>
        <v>3.1254202964737061E-3</v>
      </c>
      <c r="AP84" s="299">
        <f>+AP11/(AVERAGE(K55:O55)+AVERAGE(K56:O56))</f>
        <v>5.256723699605689E-3</v>
      </c>
      <c r="AQ84" s="299">
        <f>+AQ11/(AVERAGE(O55:S55)+AVERAGE(O56:S56))</f>
        <v>4.3934143899667464E-3</v>
      </c>
      <c r="AR84" s="299">
        <f>+AR11/(AVERAGE(S55:W55)+AVERAGE(S56:W56))</f>
        <v>3.120681965677918E-3</v>
      </c>
      <c r="AS84" s="299">
        <f>+AS11/(AVERAGE(W55:AA55)+AVERAGE(W56:AA56))</f>
        <v>2.6544409334826147E-3</v>
      </c>
      <c r="AT84" s="299">
        <f>+AT11/(AVERAGE(AA55:AE55)+AVERAGE(AA56:AE56))</f>
        <v>2.7491313094367229E-3</v>
      </c>
      <c r="AU84" s="252">
        <f>+AU11/(AVERAGE(AE55:AI55)+AVERAGE(AE56:AI56))</f>
        <v>3.0520508417037759E-3</v>
      </c>
    </row>
    <row r="85" spans="2:47" x14ac:dyDescent="0.15">
      <c r="B85" s="11" t="s">
        <v>307</v>
      </c>
      <c r="C85" s="252"/>
      <c r="D85" s="268"/>
      <c r="E85" s="252"/>
      <c r="F85" s="252"/>
      <c r="G85" s="252"/>
      <c r="H85" s="268">
        <f t="shared" ref="H85:AE85" si="98">+SUM(E15:H15)/AVERAGE(D58:H58)</f>
        <v>4.3332023930736426E-3</v>
      </c>
      <c r="I85" s="252">
        <f t="shared" si="98"/>
        <v>4.3186807452839726E-3</v>
      </c>
      <c r="J85" s="252">
        <f t="shared" si="98"/>
        <v>4.3715117368402353E-3</v>
      </c>
      <c r="K85" s="252">
        <f t="shared" si="98"/>
        <v>4.4226282592620706E-3</v>
      </c>
      <c r="L85" s="268">
        <f t="shared" si="98"/>
        <v>5.1049460357722671E-3</v>
      </c>
      <c r="M85" s="252">
        <f t="shared" si="98"/>
        <v>5.5669691036061399E-3</v>
      </c>
      <c r="N85" s="252">
        <f t="shared" si="98"/>
        <v>5.8289729056277793E-3</v>
      </c>
      <c r="O85" s="252">
        <f t="shared" si="98"/>
        <v>6.064287004264788E-3</v>
      </c>
      <c r="P85" s="268">
        <f t="shared" si="98"/>
        <v>6.3908612922752225E-3</v>
      </c>
      <c r="Q85" s="252">
        <f t="shared" si="98"/>
        <v>5.9203187102305375E-3</v>
      </c>
      <c r="R85" s="252">
        <f t="shared" si="98"/>
        <v>5.6300877275980337E-3</v>
      </c>
      <c r="S85" s="252">
        <f t="shared" si="98"/>
        <v>5.2797725287386426E-3</v>
      </c>
      <c r="T85" s="268">
        <f t="shared" si="98"/>
        <v>4.6706892823613448E-3</v>
      </c>
      <c r="U85" s="252">
        <f t="shared" si="98"/>
        <v>4.4742687020340238E-3</v>
      </c>
      <c r="V85" s="252">
        <f t="shared" si="98"/>
        <v>4.5216806279068334E-3</v>
      </c>
      <c r="W85" s="252">
        <f t="shared" si="98"/>
        <v>4.6192133046861605E-3</v>
      </c>
      <c r="X85" s="268">
        <f t="shared" si="98"/>
        <v>5.0081996173906825E-3</v>
      </c>
      <c r="Y85" s="252">
        <f t="shared" si="98"/>
        <v>5.4441749969825403E-3</v>
      </c>
      <c r="Z85" s="252">
        <f t="shared" si="98"/>
        <v>5.7665546178572811E-3</v>
      </c>
      <c r="AA85" s="252">
        <f t="shared" si="98"/>
        <v>5.8584844201538854E-3</v>
      </c>
      <c r="AB85" s="268">
        <f t="shared" si="98"/>
        <v>5.7431986941591439E-3</v>
      </c>
      <c r="AC85" s="252">
        <f t="shared" si="98"/>
        <v>5.7254079208571163E-3</v>
      </c>
      <c r="AD85" s="252">
        <f t="shared" si="98"/>
        <v>5.5593388036169217E-3</v>
      </c>
      <c r="AE85" s="252">
        <f t="shared" si="98"/>
        <v>5.4022079784459545E-3</v>
      </c>
      <c r="AF85" s="268">
        <f t="shared" ref="AF85:AH85" si="99">+SUM(AC15:AF15)/AVERAGE(AB58:AF58)</f>
        <v>5.3631234442609562E-3</v>
      </c>
      <c r="AG85" s="299">
        <f t="shared" si="99"/>
        <v>5.1979632132147097E-3</v>
      </c>
      <c r="AH85" s="299">
        <f t="shared" si="99"/>
        <v>5.0981220401855381E-3</v>
      </c>
      <c r="AI85" s="299">
        <f t="shared" ref="AI85:AK85" si="100">+SUM(AF15:AI15)/AVERAGE(AE58:AI58)</f>
        <v>4.9848864911472444E-3</v>
      </c>
      <c r="AJ85" s="268">
        <f t="shared" si="100"/>
        <v>4.9019815577606976E-3</v>
      </c>
      <c r="AK85" s="299">
        <f t="shared" si="100"/>
        <v>4.8665237025519959E-3</v>
      </c>
      <c r="AL85" s="302"/>
      <c r="AM85" s="299">
        <f>+AM15/AVERAGE('Nordnet by quarter (old)'!CH34:CI34)</f>
        <v>4.9591170674024437E-3</v>
      </c>
      <c r="AN85" s="299">
        <f>+AN15/AVERAGE('Nordnet by quarter (old)'!BI34:BM34)</f>
        <v>4.4924366339979729E-3</v>
      </c>
      <c r="AO85" s="299">
        <f>+K85</f>
        <v>4.4226282592620706E-3</v>
      </c>
      <c r="AP85" s="299">
        <f>O85</f>
        <v>6.064287004264788E-3</v>
      </c>
      <c r="AQ85" s="299">
        <f>S85</f>
        <v>5.2797725287386426E-3</v>
      </c>
      <c r="AR85" s="299">
        <f>W85</f>
        <v>4.6192133046861605E-3</v>
      </c>
      <c r="AS85" s="299">
        <f>+AA85</f>
        <v>5.8584844201538854E-3</v>
      </c>
      <c r="AT85" s="299">
        <f>+AE85</f>
        <v>5.4022079784459545E-3</v>
      </c>
      <c r="AU85" s="252">
        <f>+AI85</f>
        <v>4.9848864911472444E-3</v>
      </c>
    </row>
    <row r="86" spans="2:47" x14ac:dyDescent="0.15">
      <c r="B86" s="7" t="s">
        <v>303</v>
      </c>
      <c r="C86" s="252"/>
      <c r="D86" s="268"/>
      <c r="E86" s="252"/>
      <c r="F86" s="252"/>
      <c r="G86" s="252"/>
      <c r="H86" s="268">
        <f t="shared" ref="H86:AH86" si="101">+SUM(E21:H21)/AVERAGE(D58:H58)*-1</f>
        <v>3.5575558604468843E-3</v>
      </c>
      <c r="I86" s="252">
        <f t="shared" si="101"/>
        <v>3.3848099680671216E-3</v>
      </c>
      <c r="J86" s="252">
        <f t="shared" si="101"/>
        <v>3.2930348710497629E-3</v>
      </c>
      <c r="K86" s="252">
        <f t="shared" si="101"/>
        <v>3.184916395726893E-3</v>
      </c>
      <c r="L86" s="268">
        <f t="shared" si="101"/>
        <v>3.0567055474941397E-3</v>
      </c>
      <c r="M86" s="252">
        <f t="shared" si="101"/>
        <v>2.8682471340271539E-3</v>
      </c>
      <c r="N86" s="252">
        <f t="shared" si="101"/>
        <v>2.6584333168071395E-3</v>
      </c>
      <c r="O86" s="252">
        <f t="shared" si="101"/>
        <v>2.4002097712816348E-3</v>
      </c>
      <c r="P86" s="268">
        <f t="shared" si="101"/>
        <v>2.196537303039627E-3</v>
      </c>
      <c r="Q86" s="252">
        <f t="shared" si="101"/>
        <v>1.9663170704880984E-3</v>
      </c>
      <c r="R86" s="252">
        <f t="shared" si="101"/>
        <v>1.8072420177326774E-3</v>
      </c>
      <c r="S86" s="252">
        <f t="shared" si="101"/>
        <v>1.6555891238670697E-3</v>
      </c>
      <c r="T86" s="268">
        <f t="shared" si="101"/>
        <v>1.5849457097421385E-3</v>
      </c>
      <c r="U86" s="252">
        <f t="shared" si="101"/>
        <v>1.5829571060298263E-3</v>
      </c>
      <c r="V86" s="252">
        <f t="shared" si="101"/>
        <v>1.6272610979559622E-3</v>
      </c>
      <c r="W86" s="252">
        <f t="shared" si="101"/>
        <v>1.6529518778220596E-3</v>
      </c>
      <c r="X86" s="268">
        <f t="shared" si="101"/>
        <v>1.7035429155501534E-3</v>
      </c>
      <c r="Y86" s="252">
        <f t="shared" si="101"/>
        <v>1.7259870189722712E-3</v>
      </c>
      <c r="Z86" s="252">
        <f t="shared" si="101"/>
        <v>1.7102025971803263E-3</v>
      </c>
      <c r="AA86" s="252">
        <f t="shared" si="101"/>
        <v>1.6733783439293632E-3</v>
      </c>
      <c r="AB86" s="268">
        <f t="shared" si="101"/>
        <v>1.6357499662481433E-3</v>
      </c>
      <c r="AC86" s="252">
        <f t="shared" si="101"/>
        <v>1.5956196306394362E-3</v>
      </c>
      <c r="AD86" s="252">
        <f t="shared" si="101"/>
        <v>1.5648260271059729E-3</v>
      </c>
      <c r="AE86" s="252">
        <f t="shared" si="101"/>
        <v>1.5431037234606654E-3</v>
      </c>
      <c r="AF86" s="268">
        <f t="shared" si="101"/>
        <v>1.5476777608828586E-3</v>
      </c>
      <c r="AG86" s="299">
        <f t="shared" si="101"/>
        <v>1.5428939610132814E-3</v>
      </c>
      <c r="AH86" s="299">
        <f t="shared" si="101"/>
        <v>1.5334212442719968E-3</v>
      </c>
      <c r="AI86" s="299">
        <f t="shared" ref="AI86:AK86" si="102">+SUM(AF21:AI21)/AVERAGE(AE58:AI58)*-1</f>
        <v>1.5077327550958109E-3</v>
      </c>
      <c r="AJ86" s="268">
        <f t="shared" si="102"/>
        <v>1.4872828489855099E-3</v>
      </c>
      <c r="AK86" s="299">
        <f t="shared" si="102"/>
        <v>1.4258835771008532E-3</v>
      </c>
      <c r="AL86" s="302"/>
      <c r="AM86" s="299">
        <f>+AM21/AVERAGE('Nordnet by quarter (old)'!CH34:CI34)*-1</f>
        <v>3.7979030350808042E-3</v>
      </c>
      <c r="AN86" s="299">
        <f>+AN21/AVERAGE('Nordnet by quarter (old)'!BI34:BM34)*-1</f>
        <v>3.7760696181142277E-3</v>
      </c>
      <c r="AO86" s="299">
        <f>+K86</f>
        <v>3.184916395726893E-3</v>
      </c>
      <c r="AP86" s="299">
        <f>O86</f>
        <v>2.4002097712816348E-3</v>
      </c>
      <c r="AQ86" s="299">
        <f>S86</f>
        <v>1.6555891238670697E-3</v>
      </c>
      <c r="AR86" s="299">
        <f>W86</f>
        <v>1.6529518778220596E-3</v>
      </c>
      <c r="AS86" s="299">
        <f>+AA86</f>
        <v>1.6733783439293632E-3</v>
      </c>
      <c r="AT86" s="299">
        <f>+AE86</f>
        <v>1.5431037234606654E-3</v>
      </c>
      <c r="AU86" s="252">
        <f>+AI86</f>
        <v>1.5077327550958109E-3</v>
      </c>
    </row>
    <row r="87" spans="2:47" x14ac:dyDescent="0.15">
      <c r="B87" s="8" t="s">
        <v>55</v>
      </c>
      <c r="C87" s="250"/>
      <c r="D87" s="262"/>
      <c r="E87" s="250"/>
      <c r="F87" s="250"/>
      <c r="G87" s="250"/>
      <c r="H87" s="262">
        <f t="shared" ref="H87:AA87" si="103">+H25/H15</f>
        <v>0.20311817275825336</v>
      </c>
      <c r="I87" s="250">
        <f t="shared" si="103"/>
        <v>0.23986276752887137</v>
      </c>
      <c r="J87" s="250">
        <f t="shared" si="103"/>
        <v>0.25133572924506187</v>
      </c>
      <c r="K87" s="250">
        <f t="shared" si="103"/>
        <v>0.28524546652244481</v>
      </c>
      <c r="L87" s="262">
        <f t="shared" si="103"/>
        <v>0.56699126028744684</v>
      </c>
      <c r="M87" s="250">
        <f t="shared" si="103"/>
        <v>0.58259487396552223</v>
      </c>
      <c r="N87" s="250">
        <f t="shared" si="103"/>
        <v>0.57414768864490362</v>
      </c>
      <c r="O87" s="250">
        <f t="shared" si="103"/>
        <v>0.61499448551703695</v>
      </c>
      <c r="P87" s="262">
        <f t="shared" si="103"/>
        <v>0.74327784776442007</v>
      </c>
      <c r="Q87" s="250">
        <f t="shared" si="103"/>
        <v>0.64338490510745583</v>
      </c>
      <c r="R87" s="250">
        <f t="shared" si="103"/>
        <v>0.636897222048036</v>
      </c>
      <c r="S87" s="250">
        <f t="shared" si="103"/>
        <v>0.64774088437348287</v>
      </c>
      <c r="T87" s="262">
        <f t="shared" si="103"/>
        <v>0.65153208191317769</v>
      </c>
      <c r="U87" s="250">
        <f t="shared" si="103"/>
        <v>0.57719438850633942</v>
      </c>
      <c r="V87" s="250">
        <f t="shared" si="103"/>
        <v>0.60512511008334047</v>
      </c>
      <c r="W87" s="250">
        <f t="shared" si="103"/>
        <v>0.65530677076548816</v>
      </c>
      <c r="X87" s="262">
        <f t="shared" si="103"/>
        <v>0.70022791294342712</v>
      </c>
      <c r="Y87" s="250">
        <f t="shared" si="103"/>
        <v>0.68095852479495289</v>
      </c>
      <c r="Z87" s="250">
        <f t="shared" si="103"/>
        <v>0.6981427471176872</v>
      </c>
      <c r="AA87" s="250">
        <f t="shared" si="103"/>
        <v>0.69782488257661401</v>
      </c>
      <c r="AB87" s="262">
        <f t="shared" ref="AB87:AG87" si="104">+AB25/AB15</f>
        <v>0.70016013982747993</v>
      </c>
      <c r="AC87" s="250">
        <f t="shared" si="104"/>
        <v>0.70166582248410392</v>
      </c>
      <c r="AD87" s="250">
        <f t="shared" si="104"/>
        <v>0.69486724970694391</v>
      </c>
      <c r="AE87" s="250">
        <f t="shared" si="104"/>
        <v>0.69856937071345659</v>
      </c>
      <c r="AF87" s="262">
        <f t="shared" si="104"/>
        <v>0.70567894409706633</v>
      </c>
      <c r="AG87" s="296">
        <f t="shared" si="104"/>
        <v>0.69055230725557404</v>
      </c>
      <c r="AH87" s="296">
        <f t="shared" ref="AH87" si="105">+AH25/AH15</f>
        <v>0.69120798844115505</v>
      </c>
      <c r="AI87" s="296">
        <f t="shared" ref="AI87:AK87" si="106">+AI25/AI15</f>
        <v>0.69418937126616242</v>
      </c>
      <c r="AJ87" s="262">
        <f t="shared" si="106"/>
        <v>0.70196355842662184</v>
      </c>
      <c r="AK87" s="296">
        <f t="shared" si="106"/>
        <v>0.72857908774987901</v>
      </c>
      <c r="AL87" s="302"/>
      <c r="AM87" s="296">
        <f t="shared" ref="AM87:AS87" si="107">+AM25/AM15</f>
        <v>0.1948982933374028</v>
      </c>
      <c r="AN87" s="296">
        <f t="shared" si="107"/>
        <v>0.11816112394983276</v>
      </c>
      <c r="AO87" s="296">
        <f t="shared" si="107"/>
        <v>0.24732409304111561</v>
      </c>
      <c r="AP87" s="296">
        <f t="shared" si="107"/>
        <v>0.58616178819471787</v>
      </c>
      <c r="AQ87" s="296">
        <f t="shared" si="107"/>
        <v>0.67367300872636759</v>
      </c>
      <c r="AR87" s="296">
        <f t="shared" si="107"/>
        <v>0.62545670762378036</v>
      </c>
      <c r="AS87" s="296">
        <f t="shared" si="107"/>
        <v>0.69453423056229713</v>
      </c>
      <c r="AT87" s="296">
        <f t="shared" ref="AT87:AU87" si="108">+AT25/AT15</f>
        <v>0.69885636320100797</v>
      </c>
      <c r="AU87" s="250">
        <f t="shared" si="108"/>
        <v>0.69557059707029689</v>
      </c>
    </row>
    <row r="88" spans="2:47" x14ac:dyDescent="0.15">
      <c r="B88" s="8" t="s">
        <v>170</v>
      </c>
      <c r="C88" s="250"/>
      <c r="D88" s="262"/>
      <c r="E88" s="250"/>
      <c r="F88" s="250"/>
      <c r="G88" s="250"/>
      <c r="H88" s="262">
        <f t="shared" ref="H88:AA88" si="109">+H21/H15*-1</f>
        <v>0.76307510975209658</v>
      </c>
      <c r="I88" s="250">
        <f t="shared" si="109"/>
        <v>0.72042370699988412</v>
      </c>
      <c r="J88" s="250">
        <f t="shared" si="109"/>
        <v>0.72346054018153416</v>
      </c>
      <c r="K88" s="250">
        <f t="shared" si="109"/>
        <v>0.6830750852758305</v>
      </c>
      <c r="L88" s="262">
        <f t="shared" si="109"/>
        <v>0.39988083517662282</v>
      </c>
      <c r="M88" s="250">
        <f t="shared" si="109"/>
        <v>0.39871060925893809</v>
      </c>
      <c r="N88" s="250">
        <f t="shared" si="109"/>
        <v>0.41685645498040447</v>
      </c>
      <c r="O88" s="250">
        <f t="shared" si="109"/>
        <v>0.37292530431637178</v>
      </c>
      <c r="P88" s="262">
        <f t="shared" si="109"/>
        <v>0.25080235752441965</v>
      </c>
      <c r="Q88" s="250">
        <f t="shared" si="109"/>
        <v>0.34043736323391227</v>
      </c>
      <c r="R88" s="250">
        <f t="shared" si="109"/>
        <v>0.34885182165924444</v>
      </c>
      <c r="S88" s="250">
        <f t="shared" si="109"/>
        <v>0.33548620596537043</v>
      </c>
      <c r="T88" s="262">
        <f t="shared" si="109"/>
        <v>0.33365414310661551</v>
      </c>
      <c r="U88" s="250">
        <f t="shared" si="109"/>
        <v>0.40628423415437698</v>
      </c>
      <c r="V88" s="250">
        <f t="shared" si="109"/>
        <v>0.37385713493904654</v>
      </c>
      <c r="W88" s="250">
        <f t="shared" si="109"/>
        <v>0.32977279507855684</v>
      </c>
      <c r="X88" s="262">
        <f t="shared" si="109"/>
        <v>0.28229464691127287</v>
      </c>
      <c r="Y88" s="250">
        <f t="shared" si="109"/>
        <v>0.29942696887257791</v>
      </c>
      <c r="Z88" s="250">
        <f t="shared" si="109"/>
        <v>0.28059058217762173</v>
      </c>
      <c r="AA88" s="250">
        <f t="shared" si="109"/>
        <v>0.28129405741408786</v>
      </c>
      <c r="AB88" s="262">
        <f t="shared" ref="AB88:AG88" si="110">+AB21/AB15*-1</f>
        <v>0.27960508869434958</v>
      </c>
      <c r="AC88" s="250">
        <f t="shared" si="110"/>
        <v>0.27368941301878202</v>
      </c>
      <c r="AD88" s="250">
        <f t="shared" si="110"/>
        <v>0.29177084412496207</v>
      </c>
      <c r="AE88" s="250">
        <f t="shared" si="110"/>
        <v>0.29743767612703498</v>
      </c>
      <c r="AF88" s="262">
        <f t="shared" si="110"/>
        <v>0.29116529131566782</v>
      </c>
      <c r="AG88" s="296">
        <f t="shared" si="110"/>
        <v>0.30711402190417303</v>
      </c>
      <c r="AH88" s="296">
        <f t="shared" ref="AH88" si="111">+AH21/AH15*-1</f>
        <v>0.30815295650912861</v>
      </c>
      <c r="AI88" s="296">
        <f t="shared" ref="AI88:AK88" si="112">+AI21/AI15*-1</f>
        <v>0.30412276310552855</v>
      </c>
      <c r="AJ88" s="262">
        <f t="shared" si="112"/>
        <v>0.29531847292208663</v>
      </c>
      <c r="AK88" s="296">
        <f t="shared" si="112"/>
        <v>0.26928491077144484</v>
      </c>
      <c r="AL88" s="302"/>
      <c r="AM88" s="296">
        <f t="shared" ref="AM88:AS88" si="113">+AM21/AM15*-1</f>
        <v>0.76584258517416359</v>
      </c>
      <c r="AN88" s="296">
        <f t="shared" si="113"/>
        <v>0.84053931657880154</v>
      </c>
      <c r="AO88" s="296">
        <f t="shared" si="113"/>
        <v>0.72014110366542661</v>
      </c>
      <c r="AP88" s="296">
        <f t="shared" si="113"/>
        <v>0.39579422438180384</v>
      </c>
      <c r="AQ88" s="296">
        <f t="shared" si="113"/>
        <v>0.31357205539735544</v>
      </c>
      <c r="AR88" s="296">
        <f t="shared" si="113"/>
        <v>0.35784272532839118</v>
      </c>
      <c r="AS88" s="296">
        <f t="shared" si="113"/>
        <v>0.28563331809379616</v>
      </c>
      <c r="AT88" s="296">
        <f t="shared" ref="AT88:AU88" si="114">+AT21/AT15*-1</f>
        <v>0.28564315361745246</v>
      </c>
      <c r="AU88" s="250">
        <f t="shared" si="114"/>
        <v>0.30246079981428314</v>
      </c>
    </row>
    <row r="89" spans="2:47" s="33" customFormat="1" x14ac:dyDescent="0.15">
      <c r="B89" s="7" t="s">
        <v>56</v>
      </c>
      <c r="C89" s="250"/>
      <c r="D89" s="262"/>
      <c r="E89" s="250"/>
      <c r="F89" s="250"/>
      <c r="G89" s="250"/>
      <c r="H89" s="262">
        <f t="shared" ref="H89:AA89" si="115">+H38/H15</f>
        <v>0.17014988996630298</v>
      </c>
      <c r="I89" s="250">
        <f t="shared" si="115"/>
        <v>0.21257270773743212</v>
      </c>
      <c r="J89" s="250">
        <f t="shared" si="115"/>
        <v>0.21988780239072639</v>
      </c>
      <c r="K89" s="250">
        <f t="shared" si="115"/>
        <v>0.2443532923031374</v>
      </c>
      <c r="L89" s="262">
        <f t="shared" si="115"/>
        <v>0.46545307456647977</v>
      </c>
      <c r="M89" s="250">
        <f t="shared" si="115"/>
        <v>0.47631751162745056</v>
      </c>
      <c r="N89" s="250">
        <f t="shared" si="115"/>
        <v>0.47237711818808148</v>
      </c>
      <c r="O89" s="250">
        <f t="shared" si="115"/>
        <v>0.48289082921985915</v>
      </c>
      <c r="P89" s="262">
        <f t="shared" si="115"/>
        <v>0.59660545871913184</v>
      </c>
      <c r="Q89" s="250">
        <f t="shared" si="115"/>
        <v>0.52887010494507825</v>
      </c>
      <c r="R89" s="250">
        <f t="shared" si="115"/>
        <v>0.51361886248197408</v>
      </c>
      <c r="S89" s="250">
        <f t="shared" si="115"/>
        <v>0.52541035866394781</v>
      </c>
      <c r="T89" s="262">
        <f t="shared" si="115"/>
        <v>0.53291182597660536</v>
      </c>
      <c r="U89" s="250">
        <f t="shared" si="115"/>
        <v>0.47340646723310986</v>
      </c>
      <c r="V89" s="250">
        <f t="shared" si="115"/>
        <v>0.49649149818018112</v>
      </c>
      <c r="W89" s="250">
        <f t="shared" si="115"/>
        <v>0.54124943797562042</v>
      </c>
      <c r="X89" s="262">
        <f t="shared" si="115"/>
        <v>0.57426832010086326</v>
      </c>
      <c r="Y89" s="250">
        <f t="shared" si="115"/>
        <v>0.55678404251149727</v>
      </c>
      <c r="Z89" s="250">
        <f t="shared" si="115"/>
        <v>0.56953707150961785</v>
      </c>
      <c r="AA89" s="250">
        <f t="shared" si="115"/>
        <v>0.5657163225862315</v>
      </c>
      <c r="AB89" s="262">
        <f t="shared" ref="AB89:AG89" si="116">+AB38/AB15</f>
        <v>0.570738186818189</v>
      </c>
      <c r="AC89" s="250">
        <f t="shared" si="116"/>
        <v>0.57168761819173985</v>
      </c>
      <c r="AD89" s="250">
        <f t="shared" si="116"/>
        <v>0.56836067031413573</v>
      </c>
      <c r="AE89" s="250">
        <f t="shared" si="116"/>
        <v>0.55761904184833266</v>
      </c>
      <c r="AF89" s="262">
        <f t="shared" si="116"/>
        <v>0.57220306310383484</v>
      </c>
      <c r="AG89" s="296">
        <f t="shared" si="116"/>
        <v>0.56105639408019614</v>
      </c>
      <c r="AH89" s="296">
        <f t="shared" ref="AH89" si="117">+AH38/AH15</f>
        <v>0.55912257010692057</v>
      </c>
      <c r="AI89" s="296">
        <f t="shared" ref="AI89:AK89" si="118">+AI38/AI15</f>
        <v>0.55884822080368668</v>
      </c>
      <c r="AJ89" s="262">
        <f t="shared" si="118"/>
        <v>0.56512164863695979</v>
      </c>
      <c r="AK89" s="296">
        <f t="shared" si="118"/>
        <v>0.58764460852417688</v>
      </c>
      <c r="AL89" s="302"/>
      <c r="AM89" s="296">
        <f t="shared" ref="AM89:AS89" si="119">+AM38/AM15</f>
        <v>0.16161551129932716</v>
      </c>
      <c r="AN89" s="296">
        <f t="shared" si="119"/>
        <v>9.8375701114561592E-2</v>
      </c>
      <c r="AO89" s="296">
        <f t="shared" si="119"/>
        <v>0.21387810258821757</v>
      </c>
      <c r="AP89" s="296">
        <f t="shared" si="119"/>
        <v>0.47467418211115181</v>
      </c>
      <c r="AQ89" s="296">
        <f t="shared" si="119"/>
        <v>0.54545661922879007</v>
      </c>
      <c r="AR89" s="296">
        <f t="shared" si="119"/>
        <v>0.51371000458810934</v>
      </c>
      <c r="AS89" s="296">
        <f t="shared" si="119"/>
        <v>0.56671552770296374</v>
      </c>
      <c r="AT89" s="296">
        <f t="shared" ref="AT89:AU89" si="120">+AT38/AT15</f>
        <v>0.56701691880538418</v>
      </c>
      <c r="AU89" s="250">
        <f t="shared" si="120"/>
        <v>0.56290560391491407</v>
      </c>
    </row>
    <row r="90" spans="2:47" x14ac:dyDescent="0.15">
      <c r="B90" s="8" t="s">
        <v>279</v>
      </c>
      <c r="C90" s="250"/>
      <c r="D90" s="262"/>
      <c r="E90" s="250"/>
      <c r="F90" s="250"/>
      <c r="G90" s="250"/>
      <c r="H90" s="262">
        <f t="shared" ref="H90:N90" si="121">+H33/H31*-1</f>
        <v>7.7733634820363606E-2</v>
      </c>
      <c r="I90" s="250">
        <f t="shared" si="121"/>
        <v>0.10569064770525501</v>
      </c>
      <c r="J90" s="250">
        <f t="shared" si="121"/>
        <v>0.12341796385498627</v>
      </c>
      <c r="K90" s="250">
        <f t="shared" si="121"/>
        <v>0.10575637929401471</v>
      </c>
      <c r="L90" s="262">
        <f t="shared" si="121"/>
        <v>0.17908245299846487</v>
      </c>
      <c r="M90" s="250">
        <f t="shared" si="121"/>
        <v>0.18189684721828328</v>
      </c>
      <c r="N90" s="250">
        <f t="shared" si="121"/>
        <v>0.17597529202114492</v>
      </c>
      <c r="O90" s="250">
        <f t="shared" ref="O90:AC90" si="122">+O33/O31*-1</f>
        <v>0.21874098028257649</v>
      </c>
      <c r="P90" s="262">
        <f t="shared" si="122"/>
        <v>0.19733184499772116</v>
      </c>
      <c r="Q90" s="250">
        <f t="shared" si="122"/>
        <v>0.17798801192460639</v>
      </c>
      <c r="R90" s="250">
        <f t="shared" si="122"/>
        <v>0.19356083728806725</v>
      </c>
      <c r="S90" s="250">
        <f t="shared" si="122"/>
        <v>0.18885719376484522</v>
      </c>
      <c r="T90" s="262">
        <f t="shared" si="122"/>
        <v>0.18303609272602903</v>
      </c>
      <c r="U90" s="250">
        <f t="shared" si="122"/>
        <v>0.23710653572145463</v>
      </c>
      <c r="V90" s="250">
        <f t="shared" si="122"/>
        <v>0.17937394413553229</v>
      </c>
      <c r="W90" s="250">
        <f t="shared" si="122"/>
        <v>0.17399846108620287</v>
      </c>
      <c r="X90" s="262">
        <f t="shared" si="122"/>
        <v>0.17988370716769811</v>
      </c>
      <c r="Y90" s="250">
        <f t="shared" si="122"/>
        <v>0.1823524895599867</v>
      </c>
      <c r="Z90" s="250">
        <f t="shared" si="122"/>
        <v>0.18421114612881598</v>
      </c>
      <c r="AA90" s="250">
        <f t="shared" si="122"/>
        <v>0.18931477407711722</v>
      </c>
      <c r="AB90" s="262">
        <f t="shared" si="122"/>
        <v>0.18484621681145766</v>
      </c>
      <c r="AC90" s="250">
        <f t="shared" si="122"/>
        <v>0.18524231924565293</v>
      </c>
      <c r="AD90" s="250">
        <f t="shared" ref="AD90:AF90" si="123">+AD33/AD31*-1</f>
        <v>0.18205862982628912</v>
      </c>
      <c r="AE90" s="250">
        <f t="shared" si="123"/>
        <v>0.21707163261611653</v>
      </c>
      <c r="AF90" s="262">
        <f t="shared" si="123"/>
        <v>0.18914533600547931</v>
      </c>
      <c r="AG90" s="296">
        <f t="shared" ref="AG90:AH90" si="124">+AG33/AG31*-1</f>
        <v>0.18752513287520065</v>
      </c>
      <c r="AH90" s="296">
        <f t="shared" si="124"/>
        <v>0.19090989127648245</v>
      </c>
      <c r="AI90" s="296">
        <f t="shared" ref="AI90:AK90" si="125">+AI33/AI31*-1</f>
        <v>0.19493997263146015</v>
      </c>
      <c r="AJ90" s="262">
        <f t="shared" si="125"/>
        <v>0.19494161505531557</v>
      </c>
      <c r="AK90" s="296">
        <f t="shared" si="125"/>
        <v>0.1934374477600776</v>
      </c>
      <c r="AL90" s="302"/>
      <c r="AM90" s="296">
        <f t="shared" ref="AM90:AS90" si="126">+AM33/AM31*-1</f>
        <v>0.16420005294520179</v>
      </c>
      <c r="AN90" s="296">
        <f t="shared" si="126"/>
        <v>0.1637777762036649</v>
      </c>
      <c r="AO90" s="296">
        <f t="shared" si="126"/>
        <v>0.10048275846214931</v>
      </c>
      <c r="AP90" s="296">
        <f t="shared" si="126"/>
        <v>0.18932331444610206</v>
      </c>
      <c r="AQ90" s="296">
        <f t="shared" si="126"/>
        <v>0.19032436781158979</v>
      </c>
      <c r="AR90" s="296">
        <f t="shared" si="126"/>
        <v>0.18764459990185847</v>
      </c>
      <c r="AS90" s="296">
        <f t="shared" si="126"/>
        <v>0.18403513784461126</v>
      </c>
      <c r="AT90" s="296">
        <f t="shared" ref="AT90:AU90" si="127">+AT33/AT31*-1</f>
        <v>0.19205673607633733</v>
      </c>
      <c r="AU90" s="250">
        <f t="shared" si="127"/>
        <v>0.1906719419759054</v>
      </c>
    </row>
    <row r="91" spans="2:47" x14ac:dyDescent="0.15">
      <c r="B91" s="8" t="s">
        <v>333</v>
      </c>
      <c r="C91" s="250"/>
      <c r="D91" s="262"/>
      <c r="E91" s="250"/>
      <c r="F91" s="250"/>
      <c r="G91" s="250"/>
      <c r="H91" s="262">
        <v>7.8070000000000001E-2</v>
      </c>
      <c r="I91" s="250">
        <v>9.6570000000000003E-2</v>
      </c>
      <c r="J91" s="250">
        <v>0.11319</v>
      </c>
      <c r="K91" s="250">
        <f t="shared" ref="K91:AH91" si="128">+(SUM(H38:K38)+SUM(H41:K41))/(AVERAGE(G95:K95)-AVERAGE(G96:K96))</f>
        <v>0.12877393004252924</v>
      </c>
      <c r="L91" s="262">
        <f t="shared" si="128"/>
        <v>0.21546580949573715</v>
      </c>
      <c r="M91" s="250">
        <f t="shared" si="128"/>
        <v>0.2855753839446008</v>
      </c>
      <c r="N91" s="250">
        <f t="shared" si="128"/>
        <v>0.34008440410276941</v>
      </c>
      <c r="O91" s="250">
        <f t="shared" si="128"/>
        <v>0.39895543144925827</v>
      </c>
      <c r="P91" s="262">
        <f t="shared" si="128"/>
        <v>0.46162286916599871</v>
      </c>
      <c r="Q91" s="250">
        <f t="shared" si="128"/>
        <v>0.45577920318909704</v>
      </c>
      <c r="R91" s="250">
        <f t="shared" si="128"/>
        <v>0.44554305133761901</v>
      </c>
      <c r="S91" s="250">
        <f t="shared" si="128"/>
        <v>0.43688705097732311</v>
      </c>
      <c r="T91" s="262">
        <f t="shared" si="128"/>
        <v>0.36660821996659104</v>
      </c>
      <c r="U91" s="250">
        <f t="shared" si="128"/>
        <v>0.35095400963930073</v>
      </c>
      <c r="V91" s="250">
        <f t="shared" si="128"/>
        <v>0.34912996697650883</v>
      </c>
      <c r="W91" s="250">
        <f t="shared" si="128"/>
        <v>0.35567491922204442</v>
      </c>
      <c r="X91" s="262">
        <f t="shared" si="128"/>
        <v>0.38026766793889866</v>
      </c>
      <c r="Y91" s="250">
        <f t="shared" si="128"/>
        <v>0.43416009782339271</v>
      </c>
      <c r="Z91" s="250">
        <f t="shared" si="128"/>
        <v>0.4525388827219452</v>
      </c>
      <c r="AA91" s="250">
        <f t="shared" si="128"/>
        <v>0.44688559253258464</v>
      </c>
      <c r="AB91" s="262">
        <f t="shared" si="128"/>
        <v>0.4262089818583723</v>
      </c>
      <c r="AC91" s="250">
        <f t="shared" si="128"/>
        <v>0.4456385900416957</v>
      </c>
      <c r="AD91" s="250">
        <f t="shared" si="128"/>
        <v>0.43166489308490708</v>
      </c>
      <c r="AE91" s="250">
        <f t="shared" si="128"/>
        <v>0.42545639350022962</v>
      </c>
      <c r="AF91" s="262">
        <f t="shared" si="128"/>
        <v>0.42170468775272851</v>
      </c>
      <c r="AG91" s="296">
        <f t="shared" si="128"/>
        <v>0.42801368572173626</v>
      </c>
      <c r="AH91" s="296">
        <f t="shared" si="128"/>
        <v>0.42132869748974139</v>
      </c>
      <c r="AI91" s="296">
        <f t="shared" ref="AI91:AK91" si="129">+(SUM(AF38:AI38)+SUM(AF41:AI41))/(AVERAGE(AE95:AI95)-AVERAGE(AE96:AI96))</f>
        <v>0.41742668558689816</v>
      </c>
      <c r="AJ91" s="262">
        <f t="shared" si="129"/>
        <v>0.40900715814410843</v>
      </c>
      <c r="AK91" s="296">
        <f t="shared" si="129"/>
        <v>0.44767636262282395</v>
      </c>
      <c r="AL91" s="302"/>
      <c r="AM91" s="296">
        <v>9.7909999999999997E-2</v>
      </c>
      <c r="AN91" s="296">
        <v>6.5600000000000006E-2</v>
      </c>
      <c r="AO91" s="296">
        <f>K91</f>
        <v>0.12877393004252924</v>
      </c>
      <c r="AP91" s="296">
        <f>O91</f>
        <v>0.39895543144925827</v>
      </c>
      <c r="AQ91" s="296">
        <f>S91</f>
        <v>0.43688705097732311</v>
      </c>
      <c r="AR91" s="296">
        <f>W91</f>
        <v>0.35567491922204442</v>
      </c>
      <c r="AS91" s="296">
        <f>+AA91</f>
        <v>0.44688559253258464</v>
      </c>
      <c r="AT91" s="296">
        <f>+AE91</f>
        <v>0.42545639350022962</v>
      </c>
      <c r="AU91" s="250">
        <f>+AI91</f>
        <v>0.41742668558689816</v>
      </c>
    </row>
    <row r="92" spans="2:47" x14ac:dyDescent="0.15">
      <c r="B92" s="8" t="s">
        <v>384</v>
      </c>
      <c r="C92" s="250"/>
      <c r="D92" s="262"/>
      <c r="E92" s="250"/>
      <c r="F92" s="250"/>
      <c r="G92" s="250"/>
      <c r="H92" s="262">
        <v>0.1011</v>
      </c>
      <c r="I92" s="250">
        <v>0.11661000000000001</v>
      </c>
      <c r="J92" s="250">
        <v>0.13145000000000001</v>
      </c>
      <c r="K92" s="250">
        <f t="shared" ref="K92:AH92" si="130">+(SUM(H35:K35)+SUM(H41:K41))/(AVERAGE(G95:K95)-AVERAGE(G96:K96))</f>
        <v>0.13464921045833578</v>
      </c>
      <c r="L92" s="262">
        <f t="shared" si="130"/>
        <v>0.19647242689161523</v>
      </c>
      <c r="M92" s="250">
        <f t="shared" si="130"/>
        <v>0.26698702424751453</v>
      </c>
      <c r="N92" s="250">
        <f t="shared" si="130"/>
        <v>0.31801796018016831</v>
      </c>
      <c r="O92" s="250">
        <f t="shared" si="130"/>
        <v>0.36567121406530095</v>
      </c>
      <c r="P92" s="262">
        <f t="shared" si="130"/>
        <v>0.43186110654051002</v>
      </c>
      <c r="Q92" s="250">
        <f t="shared" si="130"/>
        <v>0.43090337470006029</v>
      </c>
      <c r="R92" s="250">
        <f t="shared" si="130"/>
        <v>0.42640869652011382</v>
      </c>
      <c r="S92" s="250">
        <f t="shared" si="130"/>
        <v>0.43688705097732311</v>
      </c>
      <c r="T92" s="262">
        <f t="shared" si="130"/>
        <v>0.37218249330408421</v>
      </c>
      <c r="U92" s="250">
        <f t="shared" si="130"/>
        <v>0.3336789868633811</v>
      </c>
      <c r="V92" s="250">
        <f t="shared" si="130"/>
        <v>0.33119185559788283</v>
      </c>
      <c r="W92" s="250">
        <f t="shared" si="130"/>
        <v>0.33759856654661652</v>
      </c>
      <c r="X92" s="262">
        <f t="shared" si="130"/>
        <v>0.35718232492183827</v>
      </c>
      <c r="Y92" s="250">
        <f t="shared" si="130"/>
        <v>0.43335296873008533</v>
      </c>
      <c r="Z92" s="250">
        <f t="shared" si="130"/>
        <v>0.45233853502477767</v>
      </c>
      <c r="AA92" s="250">
        <f t="shared" si="130"/>
        <v>0.44688559253258464</v>
      </c>
      <c r="AB92" s="262">
        <f t="shared" si="130"/>
        <v>0.4262089818583723</v>
      </c>
      <c r="AC92" s="250">
        <f t="shared" si="130"/>
        <v>0.4456385900416957</v>
      </c>
      <c r="AD92" s="250">
        <f t="shared" si="130"/>
        <v>0.43166489308490708</v>
      </c>
      <c r="AE92" s="250">
        <f t="shared" si="130"/>
        <v>0.41409876928362588</v>
      </c>
      <c r="AF92" s="262">
        <f t="shared" si="130"/>
        <v>0.41081493754075016</v>
      </c>
      <c r="AG92" s="296">
        <f t="shared" si="130"/>
        <v>0.41693229878531179</v>
      </c>
      <c r="AH92" s="296">
        <f t="shared" si="130"/>
        <v>0.40845766857214783</v>
      </c>
      <c r="AI92" s="296">
        <f t="shared" ref="AI92:AK92" si="131">+(SUM(AF35:AI35)+SUM(AF41:AI41))/(AVERAGE(AE95:AI95)-AVERAGE(AE96:AI96))</f>
        <v>0.41488365595515264</v>
      </c>
      <c r="AJ92" s="262">
        <f t="shared" si="131"/>
        <v>0.4065494257265202</v>
      </c>
      <c r="AK92" s="296">
        <f t="shared" si="131"/>
        <v>0.44518101035115859</v>
      </c>
      <c r="AL92" s="302"/>
      <c r="AM92" s="296">
        <v>9.7909999999999997E-2</v>
      </c>
      <c r="AN92" s="296">
        <v>5.9220456290274705E-2</v>
      </c>
      <c r="AO92" s="296">
        <f>K92</f>
        <v>0.13464921045833578</v>
      </c>
      <c r="AP92" s="296">
        <f>O92</f>
        <v>0.36567121406530095</v>
      </c>
      <c r="AQ92" s="296">
        <f>S92</f>
        <v>0.43688705097732311</v>
      </c>
      <c r="AR92" s="296">
        <f>W92</f>
        <v>0.33759856654661652</v>
      </c>
      <c r="AS92" s="296">
        <f>+AA92</f>
        <v>0.44688559253258464</v>
      </c>
      <c r="AT92" s="296">
        <f>+AE92</f>
        <v>0.41409876928362588</v>
      </c>
      <c r="AU92" s="250">
        <f>+AI92</f>
        <v>0.41488365595515264</v>
      </c>
    </row>
    <row r="93" spans="2:47" x14ac:dyDescent="0.15">
      <c r="B93" s="8"/>
      <c r="D93" s="257"/>
      <c r="H93" s="257"/>
      <c r="L93" s="257"/>
      <c r="P93" s="257"/>
      <c r="T93" s="257"/>
      <c r="U93" s="216"/>
      <c r="V93" s="216"/>
      <c r="W93" s="216"/>
      <c r="X93" s="257"/>
      <c r="Y93" s="216"/>
      <c r="Z93" s="216"/>
      <c r="AA93" s="216"/>
      <c r="AB93" s="270"/>
      <c r="AC93" s="250"/>
      <c r="AD93" s="250"/>
      <c r="AE93" s="216"/>
      <c r="AF93" s="270"/>
      <c r="AG93" s="291"/>
      <c r="AH93" s="291"/>
      <c r="AI93" s="291"/>
      <c r="AJ93" s="270"/>
      <c r="AK93" s="291"/>
      <c r="AL93" s="248"/>
      <c r="AM93" s="291"/>
      <c r="AN93" s="291"/>
      <c r="AO93" s="291"/>
      <c r="AP93" s="291"/>
      <c r="AQ93" s="291"/>
      <c r="AR93" s="291"/>
      <c r="AS93" s="291"/>
      <c r="AT93" s="291"/>
    </row>
    <row r="94" spans="2:47" x14ac:dyDescent="0.15">
      <c r="B94" s="239" t="s">
        <v>58</v>
      </c>
      <c r="D94" s="257"/>
      <c r="H94" s="257"/>
      <c r="L94" s="257"/>
      <c r="P94" s="257"/>
      <c r="T94" s="257"/>
      <c r="X94" s="257"/>
      <c r="AB94" s="257"/>
      <c r="AF94" s="257"/>
      <c r="AJ94" s="257"/>
      <c r="AL94" s="248"/>
    </row>
    <row r="95" spans="2:47" x14ac:dyDescent="0.15">
      <c r="B95" s="8" t="s">
        <v>59</v>
      </c>
      <c r="C95" s="247"/>
      <c r="D95" s="258"/>
      <c r="E95" s="247"/>
      <c r="F95" s="247"/>
      <c r="G95" s="247">
        <f>+'Nordnet by quarter (old)'!BM76</f>
        <v>1988.239</v>
      </c>
      <c r="H95" s="258">
        <f>+'Nordnet by quarter (old)'!BN76</f>
        <v>2615.12</v>
      </c>
      <c r="I95" s="247">
        <f>+'Nordnet by quarter (old)'!BO76</f>
        <v>2940.7420000000002</v>
      </c>
      <c r="J95" s="247">
        <f>+'Nordnet by quarter (old)'!BP76</f>
        <v>3013.9029999999998</v>
      </c>
      <c r="K95" s="247">
        <f>+'Nordnet by quarter (old)'!BQ76</f>
        <v>3057.7820000000002</v>
      </c>
      <c r="L95" s="258">
        <f>+'Nordnet by quarter (old)'!BR76</f>
        <v>3293.2</v>
      </c>
      <c r="M95" s="247">
        <f>+'Nordnet by quarter (old)'!BS76</f>
        <v>3596.7389999999991</v>
      </c>
      <c r="N95" s="247">
        <v>3880.6959999999999</v>
      </c>
      <c r="O95" s="247">
        <v>4211.6809999999987</v>
      </c>
      <c r="P95" s="258">
        <v>4897.0309999999999</v>
      </c>
      <c r="Q95" s="247">
        <v>4937.9430000000002</v>
      </c>
      <c r="R95" s="247">
        <v>5345.7560000000003</v>
      </c>
      <c r="S95" s="247">
        <v>5990.0659999999998</v>
      </c>
      <c r="T95" s="258">
        <v>6395.9920000000002</v>
      </c>
      <c r="U95" s="247">
        <v>5104.5969999999998</v>
      </c>
      <c r="V95" s="247">
        <v>5459.5860000000002</v>
      </c>
      <c r="W95" s="247">
        <v>6050.0749999999998</v>
      </c>
      <c r="X95" s="258">
        <v>6954</v>
      </c>
      <c r="Y95" s="247">
        <v>6418.875</v>
      </c>
      <c r="Z95" s="247">
        <v>7073.0360000000001</v>
      </c>
      <c r="AA95" s="247">
        <v>7699.2280000000001</v>
      </c>
      <c r="AB95" s="258">
        <v>7923.4189999999999</v>
      </c>
      <c r="AC95" s="247">
        <v>6870.9960000000001</v>
      </c>
      <c r="AD95" s="247">
        <v>7500.7150000000001</v>
      </c>
      <c r="AE95" s="247">
        <v>7935.665</v>
      </c>
      <c r="AF95" s="258">
        <v>8614.0540000000001</v>
      </c>
      <c r="AG95" s="247">
        <v>7329.4740000000002</v>
      </c>
      <c r="AH95" s="247">
        <v>7857.0870000000004</v>
      </c>
      <c r="AI95" s="247">
        <v>8379.4140000000007</v>
      </c>
      <c r="AJ95" s="258">
        <v>9171.7309999999998</v>
      </c>
      <c r="AK95" s="247">
        <v>8058.4780000000001</v>
      </c>
      <c r="AL95" s="248"/>
      <c r="AM95" s="247">
        <f>+'Nordnet by quarter (old)'!CI76</f>
        <v>2024.653</v>
      </c>
      <c r="AN95" s="247">
        <f>+'Nordnet by quarter (old)'!CJ76</f>
        <v>1988.239</v>
      </c>
      <c r="AO95" s="247">
        <f t="shared" ref="AO95:AO100" si="132">+K95</f>
        <v>3057.7820000000002</v>
      </c>
      <c r="AP95" s="247">
        <f t="shared" ref="AP95:AP100" si="133">O95</f>
        <v>4211.6809999999987</v>
      </c>
      <c r="AQ95" s="247">
        <f t="shared" ref="AQ95:AQ100" si="134">S95</f>
        <v>5990.0659999999998</v>
      </c>
      <c r="AR95" s="247">
        <f t="shared" ref="AR95:AR100" si="135">W95</f>
        <v>6050.0749999999998</v>
      </c>
      <c r="AS95" s="247">
        <f>+AA95</f>
        <v>7699.2280000000001</v>
      </c>
      <c r="AT95" s="247">
        <f>+AE95</f>
        <v>7935.665</v>
      </c>
      <c r="AU95" s="247">
        <f>+AI95</f>
        <v>8379.4140000000007</v>
      </c>
    </row>
    <row r="96" spans="2:47" x14ac:dyDescent="0.15">
      <c r="B96" s="13" t="s">
        <v>334</v>
      </c>
      <c r="C96" s="247">
        <v>0</v>
      </c>
      <c r="D96" s="258">
        <v>0</v>
      </c>
      <c r="E96" s="247">
        <v>0</v>
      </c>
      <c r="F96" s="247">
        <v>0</v>
      </c>
      <c r="G96" s="247">
        <v>0</v>
      </c>
      <c r="H96" s="258">
        <v>500</v>
      </c>
      <c r="I96" s="247">
        <v>500</v>
      </c>
      <c r="J96" s="247">
        <v>500</v>
      </c>
      <c r="K96" s="247">
        <v>500</v>
      </c>
      <c r="L96" s="258">
        <v>500</v>
      </c>
      <c r="M96" s="247">
        <v>500</v>
      </c>
      <c r="N96" s="247">
        <v>500</v>
      </c>
      <c r="O96" s="247">
        <v>500</v>
      </c>
      <c r="P96" s="258">
        <v>500</v>
      </c>
      <c r="Q96" s="247">
        <v>500</v>
      </c>
      <c r="R96" s="247">
        <v>500</v>
      </c>
      <c r="S96" s="247">
        <v>1100</v>
      </c>
      <c r="T96" s="258">
        <v>1100</v>
      </c>
      <c r="U96" s="247">
        <v>1100</v>
      </c>
      <c r="V96" s="247">
        <v>1100</v>
      </c>
      <c r="W96" s="247">
        <v>1100</v>
      </c>
      <c r="X96" s="258">
        <v>1400</v>
      </c>
      <c r="Y96" s="247">
        <v>1400</v>
      </c>
      <c r="Z96" s="247">
        <v>1400</v>
      </c>
      <c r="AA96" s="247">
        <v>1400</v>
      </c>
      <c r="AB96" s="258">
        <v>900</v>
      </c>
      <c r="AC96" s="247">
        <v>900</v>
      </c>
      <c r="AD96" s="247">
        <v>900</v>
      </c>
      <c r="AE96" s="247">
        <v>900</v>
      </c>
      <c r="AF96" s="258">
        <v>900</v>
      </c>
      <c r="AG96" s="247">
        <v>900</v>
      </c>
      <c r="AH96" s="247">
        <v>900</v>
      </c>
      <c r="AI96" s="247">
        <v>900</v>
      </c>
      <c r="AJ96" s="258">
        <v>900</v>
      </c>
      <c r="AK96" s="247">
        <v>900</v>
      </c>
      <c r="AL96" s="248"/>
      <c r="AM96" s="247">
        <f>+'Nordnet by quarter (old)'!CI77</f>
        <v>0</v>
      </c>
      <c r="AN96" s="247">
        <f>+'Nordnet by quarter (old)'!CJ77</f>
        <v>0</v>
      </c>
      <c r="AO96" s="247">
        <f>+K96</f>
        <v>500</v>
      </c>
      <c r="AP96" s="247">
        <f t="shared" si="133"/>
        <v>500</v>
      </c>
      <c r="AQ96" s="247">
        <f t="shared" si="134"/>
        <v>1100</v>
      </c>
      <c r="AR96" s="247">
        <f t="shared" si="135"/>
        <v>1100</v>
      </c>
      <c r="AS96" s="247">
        <f>+AA96</f>
        <v>1400</v>
      </c>
      <c r="AT96" s="247">
        <f>+AE96</f>
        <v>900</v>
      </c>
      <c r="AU96" s="247">
        <f>+AI96</f>
        <v>900</v>
      </c>
    </row>
    <row r="97" spans="2:48" x14ac:dyDescent="0.15">
      <c r="B97" s="13" t="s">
        <v>308</v>
      </c>
      <c r="C97" s="247">
        <v>0</v>
      </c>
      <c r="D97" s="258">
        <v>0</v>
      </c>
      <c r="E97" s="247">
        <v>0</v>
      </c>
      <c r="F97" s="247">
        <v>0</v>
      </c>
      <c r="G97" s="247">
        <v>414.25900000000001</v>
      </c>
      <c r="H97" s="258">
        <v>427.4</v>
      </c>
      <c r="I97" s="247">
        <v>920.1</v>
      </c>
      <c r="J97" s="247">
        <v>938.6</v>
      </c>
      <c r="K97" s="247">
        <v>917.1</v>
      </c>
      <c r="L97" s="258">
        <v>869.67200000000003</v>
      </c>
      <c r="M97" s="247">
        <v>869.09</v>
      </c>
      <c r="N97" s="247">
        <v>862.74900000000002</v>
      </c>
      <c r="O97" s="247">
        <v>866.81</v>
      </c>
      <c r="P97" s="258">
        <v>902.16</v>
      </c>
      <c r="Q97" s="247">
        <v>898.97500000000002</v>
      </c>
      <c r="R97" s="247">
        <v>903.60599999999999</v>
      </c>
      <c r="S97" s="247">
        <v>920.68200000000002</v>
      </c>
      <c r="T97" s="258">
        <v>946.774</v>
      </c>
      <c r="U97" s="247">
        <v>938.00400000000002</v>
      </c>
      <c r="V97" s="247">
        <v>947.005</v>
      </c>
      <c r="W97" s="247">
        <v>967.47699999999998</v>
      </c>
      <c r="X97" s="258">
        <v>956.3</v>
      </c>
      <c r="Y97" s="247">
        <v>977.27599999999995</v>
      </c>
      <c r="Z97" s="247">
        <v>999.12</v>
      </c>
      <c r="AA97" s="247">
        <v>1011.587</v>
      </c>
      <c r="AB97" s="258">
        <v>1023.907</v>
      </c>
      <c r="AC97" s="247">
        <v>1047.675</v>
      </c>
      <c r="AD97" s="247">
        <v>1053.7349999999999</v>
      </c>
      <c r="AE97" s="247">
        <v>993.89200000000005</v>
      </c>
      <c r="AF97" s="258">
        <v>1007.4160000000001</v>
      </c>
      <c r="AG97" s="247">
        <v>1032.29</v>
      </c>
      <c r="AH97" s="247">
        <v>1055.7339999999999</v>
      </c>
      <c r="AI97" s="247">
        <v>1066.671</v>
      </c>
      <c r="AJ97" s="258">
        <v>1107.1389999999999</v>
      </c>
      <c r="AK97" s="247">
        <v>1136.8879999999999</v>
      </c>
      <c r="AL97" s="248"/>
      <c r="AM97" s="247">
        <v>382.15100000000001</v>
      </c>
      <c r="AN97" s="247">
        <v>414.25900000000001</v>
      </c>
      <c r="AO97" s="247">
        <f t="shared" si="132"/>
        <v>917.1</v>
      </c>
      <c r="AP97" s="247">
        <f t="shared" si="133"/>
        <v>866.81</v>
      </c>
      <c r="AQ97" s="247">
        <f t="shared" si="134"/>
        <v>920.68200000000002</v>
      </c>
      <c r="AR97" s="247">
        <f t="shared" si="135"/>
        <v>967.47699999999998</v>
      </c>
      <c r="AS97" s="247">
        <f>+AA97</f>
        <v>1011.587</v>
      </c>
      <c r="AT97" s="247">
        <f>+AE97</f>
        <v>993.89200000000005</v>
      </c>
      <c r="AU97" s="247">
        <f>+AI97</f>
        <v>1066.671</v>
      </c>
    </row>
    <row r="98" spans="2:48" x14ac:dyDescent="0.15">
      <c r="B98" s="8" t="s">
        <v>380</v>
      </c>
      <c r="C98" s="251"/>
      <c r="D98" s="269"/>
      <c r="E98" s="251"/>
      <c r="F98" s="251"/>
      <c r="G98" s="251"/>
      <c r="H98" s="269">
        <v>0.161</v>
      </c>
      <c r="I98" s="251">
        <v>0.13039999999999999</v>
      </c>
      <c r="J98" s="251">
        <v>0.14560000000000001</v>
      </c>
      <c r="K98" s="251">
        <v>0.1477</v>
      </c>
      <c r="L98" s="269">
        <v>0.1414</v>
      </c>
      <c r="M98" s="251">
        <v>0.13739999999999999</v>
      </c>
      <c r="N98" s="251">
        <v>0.1502</v>
      </c>
      <c r="O98" s="251">
        <v>0.18140000000000001</v>
      </c>
      <c r="P98" s="269">
        <v>0.182</v>
      </c>
      <c r="Q98" s="251">
        <v>0.17599999999999999</v>
      </c>
      <c r="R98" s="251">
        <v>0.187</v>
      </c>
      <c r="S98" s="251">
        <v>0.153</v>
      </c>
      <c r="T98" s="269">
        <v>0.14699999999999999</v>
      </c>
      <c r="U98" s="251">
        <v>0.13500000000000001</v>
      </c>
      <c r="V98" s="251">
        <v>0.13789999999999999</v>
      </c>
      <c r="W98" s="251">
        <v>0.15</v>
      </c>
      <c r="X98" s="269">
        <v>0.16500000000000001</v>
      </c>
      <c r="Y98" s="251">
        <v>0.17699999999999999</v>
      </c>
      <c r="Z98" s="251">
        <v>0.187</v>
      </c>
      <c r="AA98" s="251">
        <v>0.19</v>
      </c>
      <c r="AB98" s="269">
        <v>0.19800000000000001</v>
      </c>
      <c r="AC98" s="290">
        <v>0.19500000000000001</v>
      </c>
      <c r="AD98" s="290">
        <v>0.183</v>
      </c>
      <c r="AE98" s="251">
        <v>0.19600000000000001</v>
      </c>
      <c r="AF98" s="269">
        <v>0.20399999999999999</v>
      </c>
      <c r="AG98" s="300">
        <v>0.20100000000000001</v>
      </c>
      <c r="AH98" s="300">
        <v>0.2</v>
      </c>
      <c r="AI98" s="300">
        <v>0.193</v>
      </c>
      <c r="AJ98" s="269">
        <v>0.184</v>
      </c>
      <c r="AK98" s="300">
        <v>0.17199999999999999</v>
      </c>
      <c r="AL98" s="248"/>
      <c r="AM98" s="300">
        <v>0.17399999999999999</v>
      </c>
      <c r="AN98" s="300">
        <v>0.17100000000000001</v>
      </c>
      <c r="AO98" s="300">
        <f t="shared" si="132"/>
        <v>0.1477</v>
      </c>
      <c r="AP98" s="300">
        <f t="shared" si="133"/>
        <v>0.18140000000000001</v>
      </c>
      <c r="AQ98" s="300">
        <f t="shared" si="134"/>
        <v>0.153</v>
      </c>
      <c r="AR98" s="300">
        <f t="shared" si="135"/>
        <v>0.15</v>
      </c>
      <c r="AS98" s="300">
        <v>0.19</v>
      </c>
      <c r="AT98" s="300">
        <f>AE98</f>
        <v>0.19600000000000001</v>
      </c>
      <c r="AU98" s="251">
        <f>AI98</f>
        <v>0.193</v>
      </c>
    </row>
    <row r="99" spans="2:48" x14ac:dyDescent="0.15">
      <c r="B99" s="8" t="s">
        <v>381</v>
      </c>
      <c r="C99" s="251"/>
      <c r="D99" s="269"/>
      <c r="E99" s="251"/>
      <c r="F99" s="251"/>
      <c r="G99" s="251"/>
      <c r="H99" s="269">
        <f>+'Nordnet by quarter (old)'!BN74</f>
        <v>0.217</v>
      </c>
      <c r="I99" s="251">
        <f>+'Nordnet by quarter (old)'!BO74</f>
        <v>0.18252498212470011</v>
      </c>
      <c r="J99" s="251">
        <f>+'Nordnet by quarter (old)'!BP74</f>
        <v>0.19713276766235208</v>
      </c>
      <c r="K99" s="251">
        <f>+'Nordnet by quarter (old)'!BQ74</f>
        <v>0.19713276766235208</v>
      </c>
      <c r="L99" s="269">
        <f>+'Nordnet by quarter (old)'!BR74</f>
        <v>0.185</v>
      </c>
      <c r="M99" s="251">
        <f>+'Nordnet by quarter (old)'!BS74</f>
        <v>0.18</v>
      </c>
      <c r="N99" s="251">
        <v>0.18990000000000001</v>
      </c>
      <c r="O99" s="251">
        <v>0.21840000000000001</v>
      </c>
      <c r="P99" s="269">
        <v>0.21690000000000001</v>
      </c>
      <c r="Q99" s="251">
        <v>0.20899999999999999</v>
      </c>
      <c r="R99" s="251">
        <v>0.218</v>
      </c>
      <c r="S99" s="251">
        <v>0.216</v>
      </c>
      <c r="T99" s="269">
        <v>0.20899999999999999</v>
      </c>
      <c r="U99" s="251">
        <v>0.19400000000000001</v>
      </c>
      <c r="V99" s="251">
        <v>0.1958</v>
      </c>
      <c r="W99" s="251">
        <v>0.20899999999999999</v>
      </c>
      <c r="X99" s="269">
        <v>0.24</v>
      </c>
      <c r="Y99" s="251">
        <v>0.253</v>
      </c>
      <c r="Z99" s="251">
        <v>0.26400000000000001</v>
      </c>
      <c r="AA99" s="251">
        <v>0.26400000000000001</v>
      </c>
      <c r="AB99" s="269">
        <v>0.246</v>
      </c>
      <c r="AC99" s="290">
        <v>0.24199999999999999</v>
      </c>
      <c r="AD99" s="290">
        <v>0.23</v>
      </c>
      <c r="AE99" s="251">
        <v>0.24299999999999999</v>
      </c>
      <c r="AF99" s="269">
        <v>0.25</v>
      </c>
      <c r="AG99" s="300">
        <v>0.246</v>
      </c>
      <c r="AH99" s="300">
        <v>0.24399999999999999</v>
      </c>
      <c r="AI99" s="300">
        <v>0.23699999999999999</v>
      </c>
      <c r="AJ99" s="269">
        <v>0.224</v>
      </c>
      <c r="AK99" s="300">
        <v>0.20899999999999999</v>
      </c>
      <c r="AL99" s="248"/>
      <c r="AM99" s="300">
        <f>+'Nordnet by quarter (old)'!CI74</f>
        <v>0.17399999999999999</v>
      </c>
      <c r="AN99" s="300">
        <f>+'Nordnet by quarter (old)'!CJ74</f>
        <v>0.17100000000000001</v>
      </c>
      <c r="AO99" s="300">
        <f t="shared" si="132"/>
        <v>0.19713276766235208</v>
      </c>
      <c r="AP99" s="300">
        <f t="shared" si="133"/>
        <v>0.21840000000000001</v>
      </c>
      <c r="AQ99" s="300">
        <f t="shared" si="134"/>
        <v>0.216</v>
      </c>
      <c r="AR99" s="300">
        <f t="shared" si="135"/>
        <v>0.20899999999999999</v>
      </c>
      <c r="AS99" s="300">
        <v>0.26400000000000001</v>
      </c>
      <c r="AT99" s="300">
        <f t="shared" ref="AT99:AT100" si="136">AE99</f>
        <v>0.24299999999999999</v>
      </c>
      <c r="AU99" s="251">
        <f>AI99</f>
        <v>0.23699999999999999</v>
      </c>
    </row>
    <row r="100" spans="2:48" x14ac:dyDescent="0.15">
      <c r="B100" s="8" t="s">
        <v>382</v>
      </c>
      <c r="C100" s="251"/>
      <c r="D100" s="269"/>
      <c r="E100" s="251"/>
      <c r="F100" s="251"/>
      <c r="G100" s="251"/>
      <c r="H100" s="269">
        <v>4.2299999999999997E-2</v>
      </c>
      <c r="I100" s="251">
        <v>3.5900000000000001E-2</v>
      </c>
      <c r="J100" s="251">
        <v>3.6700000000000003E-2</v>
      </c>
      <c r="K100" s="251">
        <v>3.8199999999999998E-2</v>
      </c>
      <c r="L100" s="269">
        <v>2.5600000000000001E-2</v>
      </c>
      <c r="M100" s="251">
        <v>2.9499999999999998E-2</v>
      </c>
      <c r="N100" s="251">
        <v>3.3000000000000002E-2</v>
      </c>
      <c r="O100" s="251">
        <v>4.02E-2</v>
      </c>
      <c r="P100" s="269">
        <v>4.0399999999999998E-2</v>
      </c>
      <c r="Q100" s="251">
        <v>4.2599999999999999E-2</v>
      </c>
      <c r="R100" s="251">
        <v>4.4400000000000002E-2</v>
      </c>
      <c r="S100" s="251">
        <v>4.7500000000000001E-2</v>
      </c>
      <c r="T100" s="269">
        <v>4.4299999999999999E-2</v>
      </c>
      <c r="U100" s="251">
        <v>4.2000000000000003E-2</v>
      </c>
      <c r="V100" s="251">
        <v>4.1200000000000001E-2</v>
      </c>
      <c r="W100" s="251">
        <v>4.6100000000000002E-2</v>
      </c>
      <c r="X100" s="269">
        <v>5.62E-2</v>
      </c>
      <c r="Y100" s="251">
        <v>6.08E-2</v>
      </c>
      <c r="Z100" s="251">
        <v>6.3E-2</v>
      </c>
      <c r="AA100" s="251">
        <v>6.7000000000000004E-2</v>
      </c>
      <c r="AB100" s="269">
        <v>5.9799999999999999E-2</v>
      </c>
      <c r="AC100" s="290">
        <v>6.0999999999999999E-2</v>
      </c>
      <c r="AD100" s="290">
        <v>5.7000000000000002E-2</v>
      </c>
      <c r="AE100" s="251">
        <v>0.06</v>
      </c>
      <c r="AF100" s="269">
        <v>5.45E-2</v>
      </c>
      <c r="AG100" s="300">
        <v>5.3800000000000001E-2</v>
      </c>
      <c r="AH100" s="300">
        <v>5.4199999999999998E-2</v>
      </c>
      <c r="AI100" s="300">
        <v>5.0599999999999999E-2</v>
      </c>
      <c r="AJ100" s="269">
        <v>4.4900000000000002E-2</v>
      </c>
      <c r="AK100" s="300">
        <v>4.7E-2</v>
      </c>
      <c r="AL100" s="248"/>
      <c r="AM100" s="300">
        <v>4.1799999999999997E-2</v>
      </c>
      <c r="AN100" s="300">
        <v>3.1800000000000002E-2</v>
      </c>
      <c r="AO100" s="300">
        <f t="shared" si="132"/>
        <v>3.8199999999999998E-2</v>
      </c>
      <c r="AP100" s="300">
        <f t="shared" si="133"/>
        <v>4.02E-2</v>
      </c>
      <c r="AQ100" s="300">
        <f t="shared" si="134"/>
        <v>4.7500000000000001E-2</v>
      </c>
      <c r="AR100" s="300">
        <f t="shared" si="135"/>
        <v>4.6100000000000002E-2</v>
      </c>
      <c r="AS100" s="300">
        <v>6.7000000000000004E-2</v>
      </c>
      <c r="AT100" s="300">
        <f t="shared" si="136"/>
        <v>0.06</v>
      </c>
      <c r="AU100" s="251">
        <f>AI100</f>
        <v>5.0599999999999999E-2</v>
      </c>
    </row>
    <row r="101" spans="2:48" x14ac:dyDescent="0.15">
      <c r="B101" s="8"/>
      <c r="D101" s="257"/>
      <c r="H101" s="257"/>
      <c r="L101" s="257"/>
      <c r="P101" s="257"/>
      <c r="T101" s="257"/>
      <c r="X101" s="257"/>
      <c r="AB101" s="257"/>
      <c r="AF101" s="257"/>
      <c r="AJ101" s="257"/>
      <c r="AL101" s="248"/>
    </row>
    <row r="102" spans="2:48" x14ac:dyDescent="0.15">
      <c r="B102" s="238" t="s">
        <v>61</v>
      </c>
      <c r="C102" s="216"/>
      <c r="D102" s="270"/>
      <c r="E102" s="216"/>
      <c r="F102" s="216"/>
      <c r="G102" s="216"/>
      <c r="H102" s="270"/>
      <c r="I102" s="216"/>
      <c r="J102" s="216"/>
      <c r="K102" s="216"/>
      <c r="L102" s="270"/>
      <c r="M102" s="216"/>
      <c r="N102" s="216"/>
      <c r="O102" s="216"/>
      <c r="P102" s="270"/>
      <c r="Q102" s="216"/>
      <c r="R102" s="216"/>
      <c r="S102" s="216"/>
      <c r="T102" s="270"/>
      <c r="U102" s="216"/>
      <c r="V102" s="216"/>
      <c r="W102" s="216"/>
      <c r="X102" s="270"/>
      <c r="Y102" s="216"/>
      <c r="Z102" s="216"/>
      <c r="AA102" s="216"/>
      <c r="AB102" s="270"/>
      <c r="AC102" s="216"/>
      <c r="AD102" s="216"/>
      <c r="AE102" s="216"/>
      <c r="AF102" s="270"/>
      <c r="AG102" s="291"/>
      <c r="AH102" s="303"/>
      <c r="AI102" s="303"/>
      <c r="AJ102" s="312"/>
      <c r="AK102" s="291"/>
      <c r="AL102" s="248"/>
      <c r="AM102" s="303"/>
      <c r="AN102" s="303"/>
      <c r="AO102" s="303"/>
      <c r="AP102" s="303"/>
      <c r="AQ102" s="303"/>
      <c r="AR102" s="303"/>
      <c r="AS102" s="303"/>
      <c r="AT102" s="303"/>
      <c r="AU102" s="216"/>
    </row>
    <row r="103" spans="2:48" x14ac:dyDescent="0.15">
      <c r="B103" s="8" t="s">
        <v>62</v>
      </c>
      <c r="C103" s="248"/>
      <c r="D103" s="263"/>
      <c r="E103" s="248"/>
      <c r="F103" s="248"/>
      <c r="G103" s="248"/>
      <c r="H103" s="263"/>
      <c r="I103" s="248"/>
      <c r="J103" s="248"/>
      <c r="K103" s="248"/>
      <c r="L103" s="263"/>
      <c r="M103" s="248"/>
      <c r="N103" s="248"/>
      <c r="O103" s="248">
        <v>129.1</v>
      </c>
      <c r="P103" s="263">
        <v>141</v>
      </c>
      <c r="Q103" s="248">
        <v>144.44999999999999</v>
      </c>
      <c r="R103" s="248">
        <v>157.4</v>
      </c>
      <c r="S103" s="248">
        <v>173.6</v>
      </c>
      <c r="T103" s="263">
        <v>170</v>
      </c>
      <c r="U103" s="248">
        <v>133.69999999999999</v>
      </c>
      <c r="V103" s="248">
        <v>126.6</v>
      </c>
      <c r="W103" s="248">
        <v>150.94999999999999</v>
      </c>
      <c r="X103" s="263">
        <v>170.75</v>
      </c>
      <c r="Y103" s="248">
        <v>144.30000000000001</v>
      </c>
      <c r="Z103" s="248">
        <v>144.4</v>
      </c>
      <c r="AA103" s="248">
        <v>171</v>
      </c>
      <c r="AB103" s="263">
        <v>196.4</v>
      </c>
      <c r="AC103" s="248">
        <v>221.4</v>
      </c>
      <c r="AD103" s="248">
        <v>243.6</v>
      </c>
      <c r="AE103" s="248">
        <v>234.8</v>
      </c>
      <c r="AF103" s="263">
        <v>232</v>
      </c>
      <c r="AG103" s="248">
        <v>257</v>
      </c>
      <c r="AH103" s="304">
        <v>273</v>
      </c>
      <c r="AI103" s="304">
        <v>270.2</v>
      </c>
      <c r="AJ103" s="313">
        <v>305</v>
      </c>
      <c r="AK103" s="248">
        <v>368.4</v>
      </c>
      <c r="AL103" s="248"/>
      <c r="AM103" s="304"/>
      <c r="AN103" s="304"/>
      <c r="AO103" s="304"/>
      <c r="AP103" s="304">
        <f>O103</f>
        <v>129.1</v>
      </c>
      <c r="AQ103" s="304">
        <f>S103</f>
        <v>173.6</v>
      </c>
      <c r="AR103" s="304">
        <f>W103</f>
        <v>150.94999999999999</v>
      </c>
      <c r="AS103" s="304">
        <f>AA103</f>
        <v>171</v>
      </c>
      <c r="AT103" s="304">
        <f>AE103</f>
        <v>234.8</v>
      </c>
      <c r="AU103" s="248">
        <f>AI103</f>
        <v>270.2</v>
      </c>
    </row>
    <row r="104" spans="2:48" x14ac:dyDescent="0.15">
      <c r="B104" s="8" t="s">
        <v>63</v>
      </c>
      <c r="C104" s="247"/>
      <c r="D104" s="258">
        <v>250000000</v>
      </c>
      <c r="E104" s="247">
        <v>250000000</v>
      </c>
      <c r="F104" s="247">
        <v>250000000</v>
      </c>
      <c r="G104" s="247">
        <v>250000000</v>
      </c>
      <c r="H104" s="258">
        <v>250000000</v>
      </c>
      <c r="I104" s="247">
        <v>250000000</v>
      </c>
      <c r="J104" s="247">
        <v>250000000</v>
      </c>
      <c r="K104" s="247">
        <v>250000000</v>
      </c>
      <c r="L104" s="258">
        <v>250000000</v>
      </c>
      <c r="M104" s="247">
        <v>250000000</v>
      </c>
      <c r="N104" s="247">
        <v>250000000</v>
      </c>
      <c r="O104" s="247">
        <v>250000000</v>
      </c>
      <c r="P104" s="258">
        <v>250000000</v>
      </c>
      <c r="Q104" s="247">
        <v>250000000</v>
      </c>
      <c r="R104" s="247">
        <v>250000000</v>
      </c>
      <c r="S104" s="247">
        <v>250000000</v>
      </c>
      <c r="T104" s="258">
        <v>249625000</v>
      </c>
      <c r="U104" s="247">
        <v>249625000</v>
      </c>
      <c r="V104" s="247">
        <v>249625000</v>
      </c>
      <c r="W104" s="247">
        <v>249625000</v>
      </c>
      <c r="X104" s="258">
        <v>249625000</v>
      </c>
      <c r="Y104" s="247">
        <v>249625000</v>
      </c>
      <c r="Z104" s="247">
        <v>249625000</v>
      </c>
      <c r="AA104" s="247">
        <v>251159101</v>
      </c>
      <c r="AB104" s="258">
        <v>251159101</v>
      </c>
      <c r="AC104" s="247">
        <v>251159101</v>
      </c>
      <c r="AD104" s="247">
        <v>251057345</v>
      </c>
      <c r="AE104" s="247">
        <v>250183540</v>
      </c>
      <c r="AF104" s="258">
        <v>249839434</v>
      </c>
      <c r="AG104" s="247">
        <v>250181396</v>
      </c>
      <c r="AH104" s="305">
        <v>249494813</v>
      </c>
      <c r="AI104" s="305">
        <v>248721603</v>
      </c>
      <c r="AJ104" s="309">
        <v>248373144</v>
      </c>
      <c r="AK104" s="247">
        <v>248511804</v>
      </c>
      <c r="AL104" s="248"/>
      <c r="AM104" s="305">
        <v>250000000</v>
      </c>
      <c r="AN104" s="305">
        <v>250000000</v>
      </c>
      <c r="AO104" s="305">
        <v>250000000</v>
      </c>
      <c r="AP104" s="305">
        <f>O104</f>
        <v>250000000</v>
      </c>
      <c r="AQ104" s="305">
        <f>S104</f>
        <v>250000000</v>
      </c>
      <c r="AR104" s="305">
        <f>W104</f>
        <v>249625000</v>
      </c>
      <c r="AS104" s="305">
        <f>+AA104</f>
        <v>251159101</v>
      </c>
      <c r="AT104" s="305">
        <f>+AE104</f>
        <v>250183540</v>
      </c>
      <c r="AU104" s="247">
        <f>+AI104</f>
        <v>248721603</v>
      </c>
    </row>
    <row r="105" spans="2:48" x14ac:dyDescent="0.15">
      <c r="B105" s="8" t="s">
        <v>323</v>
      </c>
      <c r="C105" s="247"/>
      <c r="D105" s="258"/>
      <c r="E105" s="247"/>
      <c r="F105" s="247"/>
      <c r="G105" s="247"/>
      <c r="H105" s="258"/>
      <c r="I105" s="247"/>
      <c r="J105" s="247"/>
      <c r="K105" s="247"/>
      <c r="L105" s="258"/>
      <c r="M105" s="247"/>
      <c r="N105" s="247"/>
      <c r="O105" s="247">
        <f t="shared" ref="O105:T105" si="137">(O104*O103)/1000000</f>
        <v>32275</v>
      </c>
      <c r="P105" s="258">
        <f t="shared" si="137"/>
        <v>35250</v>
      </c>
      <c r="Q105" s="247">
        <f t="shared" si="137"/>
        <v>36112.5</v>
      </c>
      <c r="R105" s="247">
        <f t="shared" si="137"/>
        <v>39350</v>
      </c>
      <c r="S105" s="247">
        <f t="shared" si="137"/>
        <v>43400</v>
      </c>
      <c r="T105" s="258">
        <f t="shared" si="137"/>
        <v>42436.25</v>
      </c>
      <c r="U105" s="247">
        <f t="shared" ref="U105:AC105" si="138">(U104*U103)/1000000</f>
        <v>33374.862499999996</v>
      </c>
      <c r="V105" s="247">
        <f t="shared" si="138"/>
        <v>31602.525000000001</v>
      </c>
      <c r="W105" s="247">
        <f t="shared" si="138"/>
        <v>37680.893750000003</v>
      </c>
      <c r="X105" s="258">
        <f t="shared" si="138"/>
        <v>42623.46875</v>
      </c>
      <c r="Y105" s="247">
        <f t="shared" si="138"/>
        <v>36020.887499999997</v>
      </c>
      <c r="Z105" s="247">
        <f t="shared" si="138"/>
        <v>36045.85</v>
      </c>
      <c r="AA105" s="247">
        <f t="shared" si="138"/>
        <v>42948.206271000003</v>
      </c>
      <c r="AB105" s="258">
        <f t="shared" si="138"/>
        <v>49327.647436400002</v>
      </c>
      <c r="AC105" s="247">
        <f t="shared" si="138"/>
        <v>55606.624961400004</v>
      </c>
      <c r="AD105" s="247">
        <f t="shared" ref="AD105:AF105" si="139">(AD104*AD103)/1000000</f>
        <v>61157.569241999998</v>
      </c>
      <c r="AE105" s="247">
        <f t="shared" si="139"/>
        <v>58743.095192000001</v>
      </c>
      <c r="AF105" s="258">
        <f t="shared" si="139"/>
        <v>57962.748688</v>
      </c>
      <c r="AG105" s="247">
        <f t="shared" ref="AG105:AK105" si="140">(AG104*AG103)/1000000</f>
        <v>64296.618772000002</v>
      </c>
      <c r="AH105" s="305">
        <f t="shared" si="140"/>
        <v>68112.083949000007</v>
      </c>
      <c r="AI105" s="305">
        <f t="shared" si="140"/>
        <v>67204.577130599995</v>
      </c>
      <c r="AJ105" s="309">
        <f t="shared" si="140"/>
        <v>75753.808919999996</v>
      </c>
      <c r="AK105" s="247">
        <f t="shared" si="140"/>
        <v>91551.748593599987</v>
      </c>
      <c r="AL105" s="248"/>
      <c r="AM105" s="305"/>
      <c r="AN105" s="305"/>
      <c r="AO105" s="305"/>
      <c r="AP105" s="305">
        <f t="shared" ref="AP105:AU105" si="141">(AP104*AP103)/1000000</f>
        <v>32275</v>
      </c>
      <c r="AQ105" s="305">
        <f t="shared" si="141"/>
        <v>43400</v>
      </c>
      <c r="AR105" s="305">
        <f t="shared" si="141"/>
        <v>37680.893750000003</v>
      </c>
      <c r="AS105" s="305">
        <f t="shared" si="141"/>
        <v>42948.206271000003</v>
      </c>
      <c r="AT105" s="305">
        <f t="shared" si="141"/>
        <v>58743.095192000001</v>
      </c>
      <c r="AU105" s="247">
        <f t="shared" si="141"/>
        <v>67204.577130599995</v>
      </c>
    </row>
    <row r="106" spans="2:48" x14ac:dyDescent="0.15">
      <c r="B106" s="8" t="s">
        <v>329</v>
      </c>
      <c r="C106" s="254"/>
      <c r="D106" s="265"/>
      <c r="E106" s="254"/>
      <c r="F106" s="254"/>
      <c r="G106" s="254"/>
      <c r="H106" s="265">
        <f t="shared" ref="H106:AA106" si="142">+(H35+H41)/(H111/1000000)</f>
        <v>0.46985566627081349</v>
      </c>
      <c r="I106" s="254">
        <f t="shared" si="142"/>
        <v>0.26277274836361303</v>
      </c>
      <c r="J106" s="254">
        <f t="shared" si="142"/>
        <v>0.28861885489573397</v>
      </c>
      <c r="K106" s="254">
        <f t="shared" si="142"/>
        <v>0.22999786147223186</v>
      </c>
      <c r="L106" s="265">
        <f t="shared" si="142"/>
        <v>1.1708779807858201</v>
      </c>
      <c r="M106" s="254">
        <f t="shared" si="142"/>
        <v>1.1731115558190648</v>
      </c>
      <c r="N106" s="254">
        <f t="shared" si="142"/>
        <v>1.0749048824438689</v>
      </c>
      <c r="O106" s="254">
        <f t="shared" si="142"/>
        <v>1.1271587828342504</v>
      </c>
      <c r="P106" s="265">
        <f t="shared" si="142"/>
        <v>2.6291960000000096</v>
      </c>
      <c r="Q106" s="254">
        <f t="shared" si="142"/>
        <v>1.7267760000000063</v>
      </c>
      <c r="R106" s="254">
        <f t="shared" si="142"/>
        <v>1.6031360000000168</v>
      </c>
      <c r="S106" s="254">
        <f t="shared" si="142"/>
        <v>1.828832531999991</v>
      </c>
      <c r="T106" s="265">
        <f t="shared" si="142"/>
        <v>1.9484702351175429</v>
      </c>
      <c r="U106" s="254">
        <f t="shared" si="142"/>
        <v>0.88729804501640153</v>
      </c>
      <c r="V106" s="254">
        <f t="shared" si="142"/>
        <v>1.5364362181091848</v>
      </c>
      <c r="W106" s="254">
        <f t="shared" si="142"/>
        <v>1.9798898347521336</v>
      </c>
      <c r="X106" s="265">
        <f t="shared" si="142"/>
        <v>2.5091557336003967</v>
      </c>
      <c r="Y106" s="254">
        <f t="shared" si="142"/>
        <v>2.2666680020031871</v>
      </c>
      <c r="Z106" s="254">
        <f t="shared" si="142"/>
        <v>2.5059949926489709</v>
      </c>
      <c r="AA106" s="254">
        <f t="shared" si="142"/>
        <v>2.5522632492659976</v>
      </c>
      <c r="AB106" s="265">
        <f t="shared" ref="AB106:AH106" si="143">+(AB35+AB41)/(AB111/1000000)</f>
        <v>2.7448019890786322</v>
      </c>
      <c r="AC106" s="254">
        <f t="shared" si="143"/>
        <v>2.8582838461259894</v>
      </c>
      <c r="AD106" s="254">
        <f t="shared" si="143"/>
        <v>2.7007789161538502</v>
      </c>
      <c r="AE106" s="254">
        <f t="shared" si="143"/>
        <v>2.5614855949662658</v>
      </c>
      <c r="AF106" s="265">
        <f t="shared" si="143"/>
        <v>3.132858059125625</v>
      </c>
      <c r="AG106" s="254">
        <f t="shared" si="143"/>
        <v>2.8432208017024831</v>
      </c>
      <c r="AH106" s="306">
        <f t="shared" si="143"/>
        <v>2.8076977315678815</v>
      </c>
      <c r="AI106" s="306">
        <f t="shared" ref="AI106:AK106" si="144">+(AI35+AI41)/(AI111/1000000)</f>
        <v>3.0496703281624669</v>
      </c>
      <c r="AJ106" s="314">
        <f t="shared" si="144"/>
        <v>3.3198937082259743</v>
      </c>
      <c r="AK106" s="254">
        <f t="shared" si="144"/>
        <v>3.8063234142124522</v>
      </c>
      <c r="AL106" s="248"/>
      <c r="AM106" s="306">
        <f t="shared" ref="AM106:AS106" si="145">+(AM35+AM41)/(AM111/1000000)</f>
        <v>0.66933199999999959</v>
      </c>
      <c r="AN106" s="306">
        <f t="shared" si="145"/>
        <v>0.47220800000000035</v>
      </c>
      <c r="AO106" s="306">
        <f t="shared" si="145"/>
        <v>1.2512451310023931</v>
      </c>
      <c r="AP106" s="306">
        <f t="shared" si="145"/>
        <v>4.546053201883006</v>
      </c>
      <c r="AQ106" s="306">
        <f t="shared" si="145"/>
        <v>7.7879405320000243</v>
      </c>
      <c r="AR106" s="306">
        <f t="shared" si="145"/>
        <v>6.354881998492127</v>
      </c>
      <c r="AS106" s="306">
        <f t="shared" si="145"/>
        <v>9.8344656365677423</v>
      </c>
      <c r="AT106" s="306">
        <f t="shared" ref="AT106:AU106" si="146">+(AT35+AT41)/(AT111/1000000)</f>
        <v>10.840031916207726</v>
      </c>
      <c r="AU106" s="254">
        <f t="shared" si="146"/>
        <v>11.831394034829245</v>
      </c>
    </row>
    <row r="107" spans="2:48" x14ac:dyDescent="0.15">
      <c r="B107" s="8" t="s">
        <v>330</v>
      </c>
      <c r="C107" s="254"/>
      <c r="D107" s="265"/>
      <c r="E107" s="254"/>
      <c r="F107" s="254"/>
      <c r="G107" s="254"/>
      <c r="H107" s="265">
        <f t="shared" ref="H107:AA107" si="147">+(H35+H41)/(H112/1000000)</f>
        <v>0.46985566627081349</v>
      </c>
      <c r="I107" s="254">
        <f t="shared" si="147"/>
        <v>0.26277274836361303</v>
      </c>
      <c r="J107" s="254">
        <f t="shared" si="147"/>
        <v>0.28861885489573397</v>
      </c>
      <c r="K107" s="254">
        <f t="shared" si="147"/>
        <v>0.22999786147223186</v>
      </c>
      <c r="L107" s="265">
        <f t="shared" si="147"/>
        <v>1.1708779807858201</v>
      </c>
      <c r="M107" s="254">
        <f t="shared" si="147"/>
        <v>1.1731115558190648</v>
      </c>
      <c r="N107" s="254">
        <f t="shared" si="147"/>
        <v>1.0749048824438689</v>
      </c>
      <c r="O107" s="254">
        <f t="shared" si="147"/>
        <v>1.1271587828342504</v>
      </c>
      <c r="P107" s="265">
        <f t="shared" si="147"/>
        <v>2.6216249359420045</v>
      </c>
      <c r="Q107" s="254">
        <f t="shared" si="147"/>
        <v>1.7196973747871178</v>
      </c>
      <c r="R107" s="254">
        <f t="shared" si="147"/>
        <v>1.5974074094962296</v>
      </c>
      <c r="S107" s="254">
        <f t="shared" si="147"/>
        <v>1.8170100832131613</v>
      </c>
      <c r="T107" s="265">
        <f t="shared" si="147"/>
        <v>1.9403803767896084</v>
      </c>
      <c r="U107" s="254">
        <f t="shared" si="147"/>
        <v>0.88317941930851485</v>
      </c>
      <c r="V107" s="254">
        <f t="shared" si="147"/>
        <v>1.5357744475986421</v>
      </c>
      <c r="W107" s="254">
        <f t="shared" si="147"/>
        <v>1.9734066021409387</v>
      </c>
      <c r="X107" s="265">
        <f t="shared" si="147"/>
        <v>2.492175980805083</v>
      </c>
      <c r="Y107" s="254">
        <f t="shared" si="147"/>
        <v>2.2535512997615639</v>
      </c>
      <c r="Z107" s="254">
        <f t="shared" si="147"/>
        <v>2.4939085466165474</v>
      </c>
      <c r="AA107" s="254">
        <f t="shared" si="147"/>
        <v>2.5522632492659976</v>
      </c>
      <c r="AB107" s="265">
        <f t="shared" ref="AB107:AH107" si="148">+(AB35+AB41)/(AB112/1000000)</f>
        <v>2.7445413900288314</v>
      </c>
      <c r="AC107" s="254">
        <f t="shared" si="148"/>
        <v>2.8565641578665795</v>
      </c>
      <c r="AD107" s="254">
        <f t="shared" si="148"/>
        <v>2.6969713944571456</v>
      </c>
      <c r="AE107" s="254">
        <f t="shared" si="148"/>
        <v>2.5579511364202263</v>
      </c>
      <c r="AF107" s="265">
        <f t="shared" si="148"/>
        <v>3.1277533993958482</v>
      </c>
      <c r="AG107" s="254">
        <f t="shared" si="148"/>
        <v>2.8402717092525749</v>
      </c>
      <c r="AH107" s="306">
        <f t="shared" si="148"/>
        <v>2.8059323003114955</v>
      </c>
      <c r="AI107" s="306">
        <f t="shared" ref="AI107:AK107" si="149">+(AI35+AI41)/(AI112/1000000)</f>
        <v>3.0478185185786075</v>
      </c>
      <c r="AJ107" s="314">
        <f t="shared" si="149"/>
        <v>3.3172797669786345</v>
      </c>
      <c r="AK107" s="254">
        <f t="shared" si="149"/>
        <v>3.8025209231659254</v>
      </c>
      <c r="AL107" s="248"/>
      <c r="AM107" s="306">
        <f t="shared" ref="AM107:AS107" si="150">+(AM35+AM41)/(AM112/1000000)</f>
        <v>0.66933199999999959</v>
      </c>
      <c r="AN107" s="306">
        <f t="shared" si="150"/>
        <v>0.47220800000000035</v>
      </c>
      <c r="AO107" s="306">
        <f t="shared" si="150"/>
        <v>1.2512451310023931</v>
      </c>
      <c r="AP107" s="306">
        <f t="shared" si="150"/>
        <v>4.546053201883006</v>
      </c>
      <c r="AQ107" s="306">
        <f t="shared" si="150"/>
        <v>7.7524021252256077</v>
      </c>
      <c r="AR107" s="306">
        <f t="shared" si="150"/>
        <v>6.3322195316259187</v>
      </c>
      <c r="AS107" s="306">
        <f t="shared" si="150"/>
        <v>9.8344656365677423</v>
      </c>
      <c r="AT107" s="306">
        <f t="shared" ref="AT107:AU107" si="151">+(AT35+AT41)/(AT112/1000000)</f>
        <v>10.854806533497992</v>
      </c>
      <c r="AU107" s="254">
        <f t="shared" si="151"/>
        <v>11.819432569272957</v>
      </c>
      <c r="AV107" s="286"/>
    </row>
    <row r="108" spans="2:48" ht="12" x14ac:dyDescent="0.15">
      <c r="B108" s="246" t="s">
        <v>378</v>
      </c>
      <c r="C108" s="254"/>
      <c r="D108" s="265"/>
      <c r="E108" s="254"/>
      <c r="F108" s="254"/>
      <c r="G108" s="254"/>
      <c r="H108" s="265">
        <f t="shared" ref="H108:AA108" si="152">+(H38+H41)/(H111/1000000)</f>
        <v>0.22652926627081355</v>
      </c>
      <c r="I108" s="254">
        <f t="shared" si="152"/>
        <v>0.28739994836361304</v>
      </c>
      <c r="J108" s="254">
        <f t="shared" si="152"/>
        <v>0.29534205489573401</v>
      </c>
      <c r="K108" s="254">
        <f t="shared" si="152"/>
        <v>0.38737706147223183</v>
      </c>
      <c r="L108" s="265">
        <f t="shared" si="152"/>
        <v>1.1708779807858201</v>
      </c>
      <c r="M108" s="254">
        <f t="shared" si="152"/>
        <v>1.2083115558190647</v>
      </c>
      <c r="N108" s="254">
        <f t="shared" si="152"/>
        <v>1.1355128824438689</v>
      </c>
      <c r="O108" s="254">
        <f t="shared" si="152"/>
        <v>1.4451427828342505</v>
      </c>
      <c r="P108" s="265">
        <f t="shared" si="152"/>
        <v>2.6291960000000096</v>
      </c>
      <c r="Q108" s="254">
        <f t="shared" si="152"/>
        <v>1.7267760000000063</v>
      </c>
      <c r="R108" s="254">
        <f t="shared" si="152"/>
        <v>1.6031360000000168</v>
      </c>
      <c r="S108" s="254">
        <f t="shared" si="152"/>
        <v>1.828832531999991</v>
      </c>
      <c r="T108" s="265">
        <f t="shared" si="152"/>
        <v>1.8419849924962326</v>
      </c>
      <c r="U108" s="254">
        <f t="shared" si="152"/>
        <v>1.3183615767822845</v>
      </c>
      <c r="V108" s="254">
        <f t="shared" si="152"/>
        <v>1.5477698849426014</v>
      </c>
      <c r="W108" s="254">
        <f t="shared" si="152"/>
        <v>1.9839919879819785</v>
      </c>
      <c r="X108" s="265">
        <f t="shared" si="152"/>
        <v>2.5091557336003967</v>
      </c>
      <c r="Y108" s="254">
        <f t="shared" si="152"/>
        <v>2.2666680020031871</v>
      </c>
      <c r="Z108" s="254">
        <f t="shared" si="152"/>
        <v>2.5059949926489709</v>
      </c>
      <c r="AA108" s="254">
        <f t="shared" si="152"/>
        <v>2.5522632492659976</v>
      </c>
      <c r="AB108" s="265">
        <f t="shared" ref="AB108:AH108" si="153">+(AB38+AB41)/(AB111/1000000)</f>
        <v>2.7448019890786322</v>
      </c>
      <c r="AC108" s="254">
        <f t="shared" si="153"/>
        <v>2.8582838461259894</v>
      </c>
      <c r="AD108" s="254">
        <f t="shared" si="153"/>
        <v>2.7007789161538502</v>
      </c>
      <c r="AE108" s="254">
        <f t="shared" si="153"/>
        <v>2.8600863444038351</v>
      </c>
      <c r="AF108" s="265">
        <f t="shared" si="153"/>
        <v>3.132858059125625</v>
      </c>
      <c r="AG108" s="254">
        <f t="shared" si="153"/>
        <v>2.8432208017024831</v>
      </c>
      <c r="AH108" s="306">
        <f t="shared" si="153"/>
        <v>2.8661939884402878</v>
      </c>
      <c r="AI108" s="306">
        <f t="shared" ref="AI108:AK108" si="154">+(AI38+AI41)/(AI111/1000000)</f>
        <v>3.0637113274818639</v>
      </c>
      <c r="AJ108" s="314">
        <f t="shared" si="154"/>
        <v>3.3198937082259743</v>
      </c>
      <c r="AK108" s="254">
        <f t="shared" si="154"/>
        <v>3.8063234142124522</v>
      </c>
      <c r="AL108" s="248"/>
      <c r="AM108" s="306">
        <f t="shared" ref="AM108:AS108" si="155">+(AM38+AM41)/(AM111/1000000)</f>
        <v>0.8133319999999995</v>
      </c>
      <c r="AN108" s="306">
        <f t="shared" si="155"/>
        <v>0.52308800000000044</v>
      </c>
      <c r="AO108" s="306">
        <f t="shared" si="155"/>
        <v>1.196648331002393</v>
      </c>
      <c r="AP108" s="306">
        <f t="shared" si="155"/>
        <v>4.9598452018830068</v>
      </c>
      <c r="AQ108" s="306">
        <f t="shared" si="155"/>
        <v>7.7879405320000243</v>
      </c>
      <c r="AR108" s="306">
        <f t="shared" si="155"/>
        <v>6.6951473301567077</v>
      </c>
      <c r="AS108" s="306">
        <f t="shared" si="155"/>
        <v>9.8344656365677423</v>
      </c>
      <c r="AT108" s="306">
        <f t="shared" ref="AT108:AU108" si="156">+(AT38+AT41)/(AT111/1000000)</f>
        <v>11.137345064984444</v>
      </c>
      <c r="AU108" s="254">
        <f t="shared" si="156"/>
        <v>11.903914572053495</v>
      </c>
    </row>
    <row r="109" spans="2:48" ht="12" x14ac:dyDescent="0.15">
      <c r="B109" s="246" t="s">
        <v>379</v>
      </c>
      <c r="C109" s="254"/>
      <c r="D109" s="265"/>
      <c r="E109" s="254"/>
      <c r="F109" s="254"/>
      <c r="G109" s="254"/>
      <c r="H109" s="265">
        <f t="shared" ref="H109:AA109" si="157">+(H38+H41)/(H112/1000000)</f>
        <v>0.22652926627081355</v>
      </c>
      <c r="I109" s="254">
        <f t="shared" si="157"/>
        <v>0.28739994836361304</v>
      </c>
      <c r="J109" s="254">
        <f t="shared" si="157"/>
        <v>0.29534205489573401</v>
      </c>
      <c r="K109" s="254">
        <f t="shared" si="157"/>
        <v>0.38737706147223183</v>
      </c>
      <c r="L109" s="265">
        <f t="shared" si="157"/>
        <v>1.1708779807858201</v>
      </c>
      <c r="M109" s="254">
        <f t="shared" si="157"/>
        <v>1.2083115558190647</v>
      </c>
      <c r="N109" s="254">
        <f t="shared" si="157"/>
        <v>1.1355128824438689</v>
      </c>
      <c r="O109" s="254">
        <f t="shared" si="157"/>
        <v>1.4451427828342505</v>
      </c>
      <c r="P109" s="265">
        <f t="shared" si="157"/>
        <v>2.6216249359420045</v>
      </c>
      <c r="Q109" s="254">
        <f t="shared" si="157"/>
        <v>1.7196973747871178</v>
      </c>
      <c r="R109" s="254">
        <f t="shared" si="157"/>
        <v>1.5974074094962296</v>
      </c>
      <c r="S109" s="254">
        <f t="shared" si="157"/>
        <v>1.8170100832131613</v>
      </c>
      <c r="T109" s="265">
        <f t="shared" si="157"/>
        <v>1.8343372505072064</v>
      </c>
      <c r="U109" s="254">
        <f t="shared" si="157"/>
        <v>1.3122420570640534</v>
      </c>
      <c r="V109" s="254">
        <f t="shared" si="157"/>
        <v>1.5471032328194032</v>
      </c>
      <c r="W109" s="254">
        <f t="shared" si="157"/>
        <v>1.9774953226973442</v>
      </c>
      <c r="X109" s="265">
        <f t="shared" si="157"/>
        <v>2.492175980805083</v>
      </c>
      <c r="Y109" s="254">
        <f t="shared" si="157"/>
        <v>2.2535512997615639</v>
      </c>
      <c r="Z109" s="254">
        <f t="shared" si="157"/>
        <v>2.4939085466165474</v>
      </c>
      <c r="AA109" s="254">
        <f t="shared" si="157"/>
        <v>2.5522632492659976</v>
      </c>
      <c r="AB109" s="265">
        <f t="shared" ref="AB109:AH109" si="158">+(AB38+AB41)/(AB112/1000000)</f>
        <v>2.7445413900288314</v>
      </c>
      <c r="AC109" s="254">
        <f t="shared" si="158"/>
        <v>2.8565641578665795</v>
      </c>
      <c r="AD109" s="254">
        <f t="shared" si="158"/>
        <v>2.6969713944571456</v>
      </c>
      <c r="AE109" s="254">
        <f t="shared" si="158"/>
        <v>2.856139862470751</v>
      </c>
      <c r="AF109" s="265">
        <f t="shared" si="158"/>
        <v>3.1277533993958482</v>
      </c>
      <c r="AG109" s="254">
        <f t="shared" si="158"/>
        <v>2.8402717092525749</v>
      </c>
      <c r="AH109" s="306">
        <f t="shared" si="158"/>
        <v>2.8643917757600672</v>
      </c>
      <c r="AI109" s="306">
        <f t="shared" ref="AI109:AK109" si="159">+(AI38+AI41)/(AI112/1000000)</f>
        <v>3.0618509919741146</v>
      </c>
      <c r="AJ109" s="314">
        <f t="shared" si="159"/>
        <v>3.3172797669786345</v>
      </c>
      <c r="AK109" s="254">
        <f t="shared" si="159"/>
        <v>3.8025209231659254</v>
      </c>
      <c r="AL109" s="248"/>
      <c r="AM109" s="306">
        <f t="shared" ref="AM109:AS109" si="160">+(AM38+AM41)/(AM112/1000000)</f>
        <v>0.8133319999999995</v>
      </c>
      <c r="AN109" s="306">
        <f t="shared" si="160"/>
        <v>0.52308800000000044</v>
      </c>
      <c r="AO109" s="306">
        <f t="shared" si="160"/>
        <v>1.196648331002393</v>
      </c>
      <c r="AP109" s="306">
        <f t="shared" si="160"/>
        <v>4.9598452018830068</v>
      </c>
      <c r="AQ109" s="306">
        <f t="shared" si="160"/>
        <v>7.7524021252256077</v>
      </c>
      <c r="AR109" s="306">
        <f t="shared" si="160"/>
        <v>6.6712714258409296</v>
      </c>
      <c r="AS109" s="306">
        <f t="shared" si="160"/>
        <v>9.8344656365677423</v>
      </c>
      <c r="AT109" s="306">
        <f t="shared" ref="AT109:AU109" si="161">+(AT38+AT41)/(AT112/1000000)</f>
        <v>11.152524910600835</v>
      </c>
      <c r="AU109" s="254">
        <f t="shared" si="161"/>
        <v>11.891879788686509</v>
      </c>
    </row>
    <row r="110" spans="2:48" x14ac:dyDescent="0.15">
      <c r="B110" s="8" t="s">
        <v>65</v>
      </c>
      <c r="C110" s="215"/>
      <c r="D110" s="271"/>
      <c r="E110" s="215"/>
      <c r="F110" s="215"/>
      <c r="G110" s="215"/>
      <c r="H110" s="271"/>
      <c r="I110" s="215"/>
      <c r="J110" s="215"/>
      <c r="K110" s="215"/>
      <c r="L110" s="271"/>
      <c r="M110" s="215"/>
      <c r="N110" s="215"/>
      <c r="O110" s="215"/>
      <c r="P110" s="271"/>
      <c r="Q110" s="215"/>
      <c r="R110" s="215"/>
      <c r="S110" s="215"/>
      <c r="T110" s="271"/>
      <c r="U110" s="215"/>
      <c r="V110" s="215"/>
      <c r="W110" s="215"/>
      <c r="X110" s="271"/>
      <c r="Y110" s="215"/>
      <c r="Z110" s="215"/>
      <c r="AA110" s="215"/>
      <c r="AB110" s="271"/>
      <c r="AC110" s="215"/>
      <c r="AD110" s="215"/>
      <c r="AE110" s="215"/>
      <c r="AF110" s="271"/>
      <c r="AG110" s="215"/>
      <c r="AH110" s="18"/>
      <c r="AI110" s="18"/>
      <c r="AJ110" s="315"/>
      <c r="AK110" s="215"/>
      <c r="AL110" s="248"/>
      <c r="AM110" s="18"/>
      <c r="AN110" s="18"/>
      <c r="AO110" s="18"/>
      <c r="AP110" s="306">
        <v>3.2800000000000002</v>
      </c>
      <c r="AQ110" s="306">
        <v>5.56</v>
      </c>
      <c r="AR110" s="306">
        <v>4.5999999999999996</v>
      </c>
      <c r="AS110" s="306">
        <v>7.2</v>
      </c>
      <c r="AT110" s="306">
        <v>8.1</v>
      </c>
      <c r="AU110" s="254">
        <v>8.6</v>
      </c>
    </row>
    <row r="111" spans="2:48" x14ac:dyDescent="0.15">
      <c r="B111" s="8" t="s">
        <v>66</v>
      </c>
      <c r="C111" s="247"/>
      <c r="D111" s="258"/>
      <c r="E111" s="247"/>
      <c r="F111" s="247"/>
      <c r="G111" s="247"/>
      <c r="H111" s="258">
        <f t="shared" ref="H111:N111" si="162">H104</f>
        <v>250000000</v>
      </c>
      <c r="I111" s="247">
        <f t="shared" si="162"/>
        <v>250000000</v>
      </c>
      <c r="J111" s="247">
        <f t="shared" si="162"/>
        <v>250000000</v>
      </c>
      <c r="K111" s="247">
        <f t="shared" si="162"/>
        <v>250000000</v>
      </c>
      <c r="L111" s="258">
        <f t="shared" si="162"/>
        <v>250000000</v>
      </c>
      <c r="M111" s="247">
        <f t="shared" si="162"/>
        <v>250000000</v>
      </c>
      <c r="N111" s="247">
        <f t="shared" si="162"/>
        <v>250000000</v>
      </c>
      <c r="O111" s="247">
        <f>O104</f>
        <v>250000000</v>
      </c>
      <c r="P111" s="258">
        <f>P104</f>
        <v>250000000</v>
      </c>
      <c r="Q111" s="247">
        <f>Q104</f>
        <v>250000000</v>
      </c>
      <c r="R111" s="247">
        <f>R104</f>
        <v>250000000</v>
      </c>
      <c r="S111" s="247">
        <v>250000000</v>
      </c>
      <c r="T111" s="258">
        <v>249875000</v>
      </c>
      <c r="U111" s="247">
        <v>249875000</v>
      </c>
      <c r="V111" s="247">
        <v>249875000</v>
      </c>
      <c r="W111" s="247">
        <v>249625000</v>
      </c>
      <c r="X111" s="258">
        <v>249625000</v>
      </c>
      <c r="Y111" s="247">
        <v>249625000</v>
      </c>
      <c r="Z111" s="247">
        <v>249625000</v>
      </c>
      <c r="AA111" s="247">
        <v>250647734</v>
      </c>
      <c r="AB111" s="258">
        <v>251159101</v>
      </c>
      <c r="AC111" s="295">
        <v>251159101</v>
      </c>
      <c r="AD111" s="295">
        <v>251157970</v>
      </c>
      <c r="AE111" s="247">
        <v>250506288</v>
      </c>
      <c r="AF111" s="258">
        <v>250251044</v>
      </c>
      <c r="AG111" s="247">
        <v>249849396</v>
      </c>
      <c r="AH111" s="305">
        <v>249910146</v>
      </c>
      <c r="AI111" s="305">
        <v>248952718</v>
      </c>
      <c r="AJ111" s="315">
        <v>248543953</v>
      </c>
      <c r="AK111" s="247">
        <v>248438952</v>
      </c>
      <c r="AL111" s="248"/>
      <c r="AM111" s="305">
        <v>250000000</v>
      </c>
      <c r="AN111" s="305">
        <v>250000000</v>
      </c>
      <c r="AO111" s="305">
        <v>250000000</v>
      </c>
      <c r="AP111" s="305">
        <f>O111</f>
        <v>250000000</v>
      </c>
      <c r="AQ111" s="305">
        <f>S111</f>
        <v>250000000</v>
      </c>
      <c r="AR111" s="305">
        <v>249687500</v>
      </c>
      <c r="AS111" s="305">
        <v>249880684</v>
      </c>
      <c r="AT111" s="305">
        <v>251591178</v>
      </c>
      <c r="AU111" s="247">
        <v>249782389</v>
      </c>
    </row>
    <row r="112" spans="2:48" x14ac:dyDescent="0.15">
      <c r="B112" s="8" t="s">
        <v>67</v>
      </c>
      <c r="C112" s="247"/>
      <c r="D112" s="258"/>
      <c r="E112" s="247"/>
      <c r="F112" s="247"/>
      <c r="G112" s="247"/>
      <c r="H112" s="258">
        <f t="shared" ref="H112:N112" si="163">H111</f>
        <v>250000000</v>
      </c>
      <c r="I112" s="247">
        <f t="shared" si="163"/>
        <v>250000000</v>
      </c>
      <c r="J112" s="247">
        <f t="shared" si="163"/>
        <v>250000000</v>
      </c>
      <c r="K112" s="247">
        <f t="shared" si="163"/>
        <v>250000000</v>
      </c>
      <c r="L112" s="258">
        <f t="shared" si="163"/>
        <v>250000000</v>
      </c>
      <c r="M112" s="247">
        <f t="shared" si="163"/>
        <v>250000000</v>
      </c>
      <c r="N112" s="247">
        <f t="shared" si="163"/>
        <v>250000000</v>
      </c>
      <c r="O112" s="247">
        <f>O111</f>
        <v>250000000</v>
      </c>
      <c r="P112" s="258">
        <v>250721982</v>
      </c>
      <c r="Q112" s="247">
        <v>251029051</v>
      </c>
      <c r="R112" s="247">
        <v>250896545</v>
      </c>
      <c r="S112" s="247">
        <v>251626635</v>
      </c>
      <c r="T112" s="258">
        <v>250916782</v>
      </c>
      <c r="U112" s="247">
        <v>251040269</v>
      </c>
      <c r="V112" s="247">
        <v>249982672</v>
      </c>
      <c r="W112" s="247">
        <v>250445093</v>
      </c>
      <c r="X112" s="258">
        <v>251325751</v>
      </c>
      <c r="Y112" s="247">
        <v>251077932</v>
      </c>
      <c r="Z112" s="247">
        <v>250834779.36217305</v>
      </c>
      <c r="AA112" s="247">
        <v>250647734</v>
      </c>
      <c r="AB112" s="258">
        <v>251182949</v>
      </c>
      <c r="AC112" s="295">
        <v>251310302</v>
      </c>
      <c r="AD112" s="295">
        <v>251512549</v>
      </c>
      <c r="AE112" s="247">
        <v>250852426</v>
      </c>
      <c r="AF112" s="258">
        <v>250659467</v>
      </c>
      <c r="AG112" s="247">
        <v>250108818</v>
      </c>
      <c r="AH112" s="305">
        <v>250067384</v>
      </c>
      <c r="AI112" s="305">
        <v>249103978</v>
      </c>
      <c r="AJ112" s="315">
        <v>248739800</v>
      </c>
      <c r="AK112" s="247">
        <v>248687389</v>
      </c>
      <c r="AL112" s="248"/>
      <c r="AM112" s="305">
        <v>250000000</v>
      </c>
      <c r="AN112" s="305">
        <v>250000000</v>
      </c>
      <c r="AO112" s="305">
        <v>250000000</v>
      </c>
      <c r="AP112" s="305">
        <f>O112</f>
        <v>250000000</v>
      </c>
      <c r="AQ112" s="305">
        <v>251146045</v>
      </c>
      <c r="AR112" s="305">
        <v>250581110</v>
      </c>
      <c r="AS112" s="305">
        <v>249880684</v>
      </c>
      <c r="AT112" s="305">
        <v>251248734</v>
      </c>
      <c r="AU112" s="247">
        <v>250035173</v>
      </c>
    </row>
    <row r="113" spans="2:47" x14ac:dyDescent="0.15">
      <c r="B113" s="8"/>
      <c r="D113" s="257"/>
      <c r="H113" s="257"/>
      <c r="L113" s="257"/>
      <c r="P113" s="257"/>
      <c r="T113" s="257"/>
      <c r="X113" s="257"/>
      <c r="AB113" s="257"/>
      <c r="AF113" s="257"/>
      <c r="AJ113" s="257"/>
      <c r="AL113" s="248"/>
    </row>
    <row r="114" spans="2:47" x14ac:dyDescent="0.15">
      <c r="P114" s="257"/>
      <c r="T114" s="257"/>
      <c r="X114" s="257"/>
      <c r="AB114" s="257"/>
      <c r="AF114" s="257"/>
      <c r="AJ114" s="257"/>
      <c r="AL114" s="248"/>
    </row>
    <row r="115" spans="2:47" x14ac:dyDescent="0.15">
      <c r="B115" s="8" t="s">
        <v>281</v>
      </c>
      <c r="C115" s="247"/>
      <c r="D115" s="258"/>
      <c r="E115" s="247"/>
      <c r="F115" s="247"/>
      <c r="G115" s="247">
        <f>AN115</f>
        <v>494</v>
      </c>
      <c r="H115" s="258">
        <v>481</v>
      </c>
      <c r="I115" s="247">
        <v>496</v>
      </c>
      <c r="J115" s="247">
        <v>499</v>
      </c>
      <c r="K115" s="247">
        <v>494</v>
      </c>
      <c r="L115" s="258">
        <v>505</v>
      </c>
      <c r="M115" s="247">
        <v>533</v>
      </c>
      <c r="N115" s="247">
        <v>558</v>
      </c>
      <c r="O115" s="247">
        <v>571</v>
      </c>
      <c r="P115" s="258">
        <v>610</v>
      </c>
      <c r="Q115" s="247">
        <v>630</v>
      </c>
      <c r="R115" s="210">
        <v>646</v>
      </c>
      <c r="S115" s="247">
        <v>648</v>
      </c>
      <c r="T115" s="258">
        <v>662</v>
      </c>
      <c r="U115" s="247">
        <v>673</v>
      </c>
      <c r="V115" s="247">
        <v>669</v>
      </c>
      <c r="W115" s="247">
        <v>666</v>
      </c>
      <c r="X115" s="258">
        <v>682</v>
      </c>
      <c r="Y115" s="247">
        <v>712</v>
      </c>
      <c r="Z115" s="247">
        <v>726</v>
      </c>
      <c r="AA115" s="247">
        <v>735</v>
      </c>
      <c r="AB115" s="258">
        <v>750</v>
      </c>
      <c r="AC115" s="247">
        <v>753</v>
      </c>
      <c r="AD115" s="210">
        <v>768</v>
      </c>
      <c r="AE115" s="247">
        <v>797</v>
      </c>
      <c r="AF115" s="258">
        <v>809</v>
      </c>
      <c r="AG115" s="247">
        <v>837</v>
      </c>
      <c r="AH115" s="247">
        <v>851</v>
      </c>
      <c r="AI115" s="210">
        <v>853</v>
      </c>
      <c r="AJ115" s="257">
        <v>862</v>
      </c>
      <c r="AK115" s="247">
        <v>876</v>
      </c>
      <c r="AL115" s="248"/>
      <c r="AM115" s="210">
        <v>465</v>
      </c>
      <c r="AN115" s="210">
        <v>494</v>
      </c>
      <c r="AO115" s="210">
        <v>494</v>
      </c>
      <c r="AP115" s="210">
        <f>O115</f>
        <v>571</v>
      </c>
      <c r="AQ115" s="210">
        <f>S115</f>
        <v>648</v>
      </c>
      <c r="AR115" s="210">
        <f>W115</f>
        <v>666</v>
      </c>
      <c r="AS115" s="210">
        <f>AA115</f>
        <v>735</v>
      </c>
      <c r="AT115" s="210">
        <f>AE115</f>
        <v>797</v>
      </c>
      <c r="AU115" s="247">
        <f>AI115</f>
        <v>853</v>
      </c>
    </row>
    <row r="116" spans="2:47" x14ac:dyDescent="0.15">
      <c r="W116" s="301"/>
      <c r="X116" s="301"/>
      <c r="Y116" s="301"/>
      <c r="Z116" s="301"/>
      <c r="AA116" s="301"/>
      <c r="AB116" s="301"/>
      <c r="AC116" s="301"/>
      <c r="AD116" s="301"/>
      <c r="AE116" s="301"/>
      <c r="AF116" s="301"/>
      <c r="AG116" s="301"/>
      <c r="AH116" s="301"/>
      <c r="AI116" s="301"/>
      <c r="AJ116" s="301"/>
      <c r="AK116" s="301"/>
      <c r="AM116" s="301"/>
      <c r="AN116" s="301"/>
      <c r="AO116" s="301"/>
      <c r="AP116" s="301"/>
      <c r="AQ116" s="301"/>
      <c r="AR116" s="301"/>
      <c r="AS116" s="301"/>
      <c r="AT116" s="301"/>
      <c r="AU116" s="301"/>
    </row>
    <row r="117" spans="2:47" x14ac:dyDescent="0.15">
      <c r="H117" s="281"/>
      <c r="I117" s="281"/>
      <c r="J117" s="281"/>
      <c r="K117" s="281"/>
      <c r="L117" s="281"/>
      <c r="M117" s="281"/>
      <c r="N117" s="281"/>
      <c r="O117" s="281"/>
      <c r="P117" s="281"/>
      <c r="Q117" s="281"/>
      <c r="S117" s="281"/>
      <c r="T117" s="216"/>
      <c r="U117" s="216"/>
      <c r="V117" s="216"/>
      <c r="W117" s="216"/>
      <c r="X117" s="216"/>
      <c r="Y117" s="216"/>
      <c r="Z117" s="216"/>
      <c r="AA117" s="216"/>
      <c r="AB117" s="216"/>
      <c r="AC117" s="291"/>
      <c r="AD117" s="291"/>
      <c r="AE117" s="216"/>
      <c r="AF117" s="216"/>
      <c r="AG117" s="291"/>
      <c r="AH117" s="291"/>
      <c r="AI117" s="291"/>
      <c r="AJ117" s="291"/>
      <c r="AK117" s="291"/>
      <c r="AM117" s="291"/>
      <c r="AN117" s="291"/>
      <c r="AO117" s="291"/>
      <c r="AP117" s="291"/>
      <c r="AQ117" s="291"/>
      <c r="AR117" s="291"/>
      <c r="AS117" s="291"/>
      <c r="AT117" s="291"/>
      <c r="AU117" s="291"/>
    </row>
    <row r="118" spans="2:47" x14ac:dyDescent="0.15">
      <c r="C118" s="215"/>
      <c r="D118" s="215"/>
      <c r="E118" s="215"/>
      <c r="F118" s="215"/>
      <c r="G118" s="215"/>
      <c r="H118" s="282"/>
      <c r="I118" s="282"/>
      <c r="J118" s="282"/>
      <c r="K118" s="282"/>
      <c r="L118" s="282"/>
      <c r="M118" s="282"/>
      <c r="N118" s="282"/>
      <c r="O118" s="282"/>
      <c r="P118" s="282"/>
      <c r="Q118" s="282"/>
      <c r="R118" s="215"/>
      <c r="S118" s="282"/>
      <c r="T118" s="282"/>
      <c r="U118" s="282"/>
      <c r="V118" s="282"/>
      <c r="W118" s="282"/>
      <c r="X118" s="281"/>
      <c r="Y118" s="282"/>
      <c r="Z118" s="282"/>
      <c r="AA118" s="282"/>
      <c r="AB118" s="282"/>
      <c r="AC118" s="282"/>
      <c r="AD118" s="282"/>
      <c r="AE118" s="282"/>
      <c r="AF118" s="282"/>
      <c r="AG118" s="282"/>
      <c r="AH118" s="282"/>
      <c r="AI118" s="282"/>
      <c r="AJ118" s="282"/>
      <c r="AK118" s="282"/>
      <c r="AM118" s="282"/>
      <c r="AN118" s="282"/>
      <c r="AO118" s="282"/>
      <c r="AP118" s="282"/>
      <c r="AQ118" s="282"/>
      <c r="AR118" s="282"/>
      <c r="AS118" s="282"/>
      <c r="AT118" s="282"/>
      <c r="AU118" s="282"/>
    </row>
    <row r="119" spans="2:47" x14ac:dyDescent="0.1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92"/>
      <c r="AD119" s="292"/>
      <c r="AE119" s="245"/>
      <c r="AF119" s="245"/>
      <c r="AG119" s="292"/>
      <c r="AH119" s="292"/>
      <c r="AI119" s="292"/>
      <c r="AJ119" s="292"/>
      <c r="AK119" s="292"/>
      <c r="AL119" s="254"/>
      <c r="AM119" s="292"/>
      <c r="AN119" s="292"/>
      <c r="AO119" s="292"/>
      <c r="AP119" s="292"/>
      <c r="AQ119" s="292"/>
      <c r="AR119" s="292"/>
      <c r="AS119" s="292"/>
      <c r="AT119" s="292"/>
      <c r="AU119" s="292"/>
    </row>
    <row r="120" spans="2:47" x14ac:dyDescent="0.15">
      <c r="C120" s="215"/>
      <c r="D120" s="215"/>
      <c r="E120" s="215"/>
      <c r="F120" s="215"/>
      <c r="G120" s="215"/>
      <c r="H120" s="215"/>
      <c r="I120" s="215"/>
      <c r="J120" s="215"/>
      <c r="K120" s="215"/>
      <c r="L120" s="215"/>
      <c r="M120" s="215"/>
      <c r="N120" s="215"/>
      <c r="O120" s="215"/>
      <c r="P120" s="215"/>
      <c r="Q120" s="216"/>
      <c r="R120" s="215"/>
      <c r="S120" s="215"/>
      <c r="T120" s="215"/>
      <c r="U120" s="216"/>
      <c r="V120" s="216"/>
      <c r="W120" s="216"/>
      <c r="X120" s="215"/>
      <c r="Y120" s="216"/>
      <c r="Z120" s="216"/>
      <c r="AA120" s="216"/>
      <c r="AB120" s="216"/>
      <c r="AC120" s="291"/>
      <c r="AD120" s="291"/>
      <c r="AE120" s="216"/>
      <c r="AF120" s="216"/>
      <c r="AG120" s="291"/>
      <c r="AH120" s="291"/>
      <c r="AI120" s="291"/>
      <c r="AJ120" s="291"/>
      <c r="AK120" s="291"/>
      <c r="AL120" s="254"/>
      <c r="AM120" s="291"/>
      <c r="AN120" s="291"/>
      <c r="AO120" s="291"/>
      <c r="AP120" s="291"/>
      <c r="AQ120" s="291"/>
      <c r="AR120" s="291"/>
      <c r="AS120" s="291"/>
      <c r="AT120" s="291"/>
      <c r="AU120" s="291"/>
    </row>
    <row r="121" spans="2:47" x14ac:dyDescent="0.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87"/>
      <c r="AG121" s="287"/>
      <c r="AH121" s="287"/>
      <c r="AI121" s="287"/>
      <c r="AJ121" s="287"/>
      <c r="AK121" s="287"/>
      <c r="AL121" s="254"/>
      <c r="AM121" s="215"/>
      <c r="AN121" s="215"/>
      <c r="AO121" s="215"/>
      <c r="AP121" s="215"/>
      <c r="AQ121" s="215"/>
      <c r="AR121" s="215"/>
      <c r="AS121" s="215"/>
      <c r="AT121" s="215"/>
      <c r="AU121" s="215"/>
    </row>
    <row r="122" spans="2:47" ht="72" x14ac:dyDescent="0.15">
      <c r="B122" s="242" t="s">
        <v>351</v>
      </c>
      <c r="C122" s="215"/>
      <c r="D122" s="215"/>
      <c r="E122" s="215"/>
      <c r="F122" s="215"/>
      <c r="G122" s="215"/>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93"/>
      <c r="AD122" s="293"/>
      <c r="AE122" s="280"/>
      <c r="AF122" s="280"/>
      <c r="AG122" s="293"/>
      <c r="AH122" s="293"/>
      <c r="AI122" s="293"/>
      <c r="AJ122" s="293"/>
      <c r="AK122" s="293"/>
      <c r="AL122" s="254"/>
      <c r="AM122" s="293"/>
      <c r="AN122" s="293"/>
      <c r="AO122" s="293"/>
      <c r="AP122" s="293"/>
      <c r="AQ122" s="293"/>
      <c r="AR122" s="293"/>
      <c r="AS122" s="293"/>
      <c r="AT122" s="293"/>
      <c r="AU122" s="293"/>
    </row>
    <row r="123" spans="2:47" ht="60" x14ac:dyDescent="0.15">
      <c r="B123" s="242" t="s">
        <v>343</v>
      </c>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93"/>
      <c r="AD123" s="293"/>
      <c r="AE123" s="280"/>
      <c r="AF123" s="280"/>
      <c r="AG123" s="293"/>
      <c r="AH123" s="293"/>
      <c r="AI123" s="293"/>
      <c r="AJ123" s="293"/>
      <c r="AK123" s="293"/>
      <c r="AM123" s="293"/>
      <c r="AN123" s="293"/>
      <c r="AO123" s="293"/>
      <c r="AP123" s="293"/>
      <c r="AQ123" s="293"/>
      <c r="AR123" s="293"/>
      <c r="AS123" s="293"/>
      <c r="AT123" s="293"/>
      <c r="AU123" s="293"/>
    </row>
    <row r="124" spans="2:47" ht="48" x14ac:dyDescent="0.15">
      <c r="B124" s="242" t="s">
        <v>362</v>
      </c>
    </row>
    <row r="125" spans="2:47" ht="36" x14ac:dyDescent="0.15">
      <c r="B125" s="242" t="s">
        <v>398</v>
      </c>
    </row>
    <row r="131" spans="11:47" x14ac:dyDescent="0.15">
      <c r="K131" s="216"/>
      <c r="L131" s="216"/>
      <c r="M131" s="216"/>
      <c r="N131" s="216"/>
      <c r="O131" s="216"/>
      <c r="P131" s="216"/>
      <c r="Q131" s="216"/>
      <c r="R131" s="216"/>
      <c r="S131" s="216"/>
      <c r="T131" s="216"/>
      <c r="U131" s="216"/>
      <c r="V131" s="216"/>
      <c r="W131" s="216"/>
      <c r="X131" s="216"/>
      <c r="Y131" s="216"/>
      <c r="Z131" s="216"/>
      <c r="AA131" s="216"/>
      <c r="AB131" s="216"/>
      <c r="AC131" s="291"/>
      <c r="AD131" s="291"/>
      <c r="AE131" s="216"/>
      <c r="AF131" s="216"/>
      <c r="AG131" s="291"/>
      <c r="AH131" s="291"/>
      <c r="AI131" s="291"/>
      <c r="AJ131" s="291"/>
      <c r="AK131" s="291"/>
      <c r="AM131" s="291"/>
      <c r="AN131" s="291"/>
      <c r="AO131" s="291"/>
      <c r="AP131" s="291"/>
      <c r="AQ131" s="291"/>
      <c r="AR131" s="291"/>
      <c r="AS131" s="291"/>
      <c r="AT131" s="291"/>
      <c r="AU131" s="291"/>
    </row>
    <row r="132" spans="11:47" x14ac:dyDescent="0.15">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M132" s="279"/>
      <c r="AN132" s="279"/>
      <c r="AO132" s="279"/>
      <c r="AP132" s="279"/>
      <c r="AQ132" s="279"/>
      <c r="AR132" s="279"/>
      <c r="AS132" s="279"/>
      <c r="AT132" s="279"/>
      <c r="AU132" s="279"/>
    </row>
  </sheetData>
  <pageMargins left="0.7" right="0.7" top="0.75" bottom="0.75" header="0.3" footer="0.3"/>
  <pageSetup paperSize="9" scale="32" orientation="portrait" r:id="rId1"/>
  <ignoredErrors>
    <ignoredError sqref="AM8:AO8 H50:K50 H98:Q98 H112:R112 H99:S107 O50:S50 H77:S90 H30:S49 AM22 H22:S22 AM50:AN74 H8:S8 AM30:AM49 AM77:AQ90 AP74:AQ74 AO53:AQ73 AO9:AO10 AO25:AR25 AO23:AQ24 AR53:AR72 AM111:AR115 AR88:AR90 AO27:AR27 AR26 AR30:AR37 AQ28:AR28 AR22:AR24 AR47:AR49 T77:X79 H113:W113 T112:V112 AO50:AP52 T80 T81:X90 AR85:AR86 H111:W111 X111:X113 AR12:AR19 H13:S16 AM13:AM16 H18:S19 AM18:AM19 AN20:AR20 AS33:AT33 AR40:AR45 AS41:AS47 AR77:AS84 Y78:AA90 H93:S97 AM93:AQ107 AR93:AR105 T93:X107 K92:AA92 L91:AA91 H114:N114 Q114:R114 U114:V114 H115:X115 AB78:AC92 AD78:AD97 AD113:AD115 AD110 AM26:AM28 H26:S28 AB15:AD15 AE91:AE92 AT82:AT84 AT41 AP8:AT10 AS12:AT24 AE82:AE84 AE78 AD101:AD103 AF80:AG92 AR73:AS75 T48:X75 AM75:AQ75 H51:S75 AU8:AU10 Y48:AJ52 AH98:AI100 AL78:AL116 AH101:AJ116 AH80:AJ97 AF78:AJ79 AK48:AK52 AK82:AK84 AK91:AK92 AK78 AU12:AU117 AN76:AT76" formulaRange="1"/>
    <ignoredError sqref="AN27 AO74 AO12:AQ12 AN22:AQ22 AN28:AP28 AN30:AQ49 AN26:AQ26 AO11:AU11 AN13:AQ16 AN18:AQ19 AO17:AQ17 AR38:AR39" formula="1" formulaRange="1"/>
    <ignoredError sqref="U38:U39 AT39 AT46 AE38:AE39" formula="1"/>
    <ignoredError sqref="AE106:AE108 AT71:AT72 AT49" evalError="1"/>
    <ignoredError sqref="AT77 AT47 AT73:AT75" evalError="1" formulaRang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AY65"/>
  <sheetViews>
    <sheetView showGridLines="0" zoomScaleNormal="100" workbookViewId="0">
      <pane xSplit="2" ySplit="2" topLeftCell="AC3" activePane="bottomRight" state="frozen"/>
      <selection pane="topRight" activeCell="C1" sqref="C1"/>
      <selection pane="bottomLeft" activeCell="A3" sqref="A3"/>
      <selection pane="bottomRight" activeCell="AL2" sqref="AL2"/>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8" width="8.1640625" style="210" customWidth="1"/>
    <col min="39" max="39" width="9.1640625" style="210"/>
    <col min="40" max="40" width="8.6640625" style="210" bestFit="1" customWidth="1"/>
    <col min="41" max="41" width="8.83203125" style="210" bestFit="1" customWidth="1"/>
    <col min="42" max="42" width="8.6640625" style="210" bestFit="1" customWidth="1"/>
    <col min="43" max="43" width="8.83203125" style="210" bestFit="1" customWidth="1"/>
    <col min="44" max="45" width="9.1640625" style="210" bestFit="1" customWidth="1"/>
    <col min="46" max="48" width="9.1640625" style="210"/>
    <col min="49" max="49" width="9.1640625" style="11"/>
    <col min="50" max="51" width="9.1640625" style="294"/>
    <col min="52" max="16384" width="9.1640625" style="11"/>
  </cols>
  <sheetData>
    <row r="2" spans="2:48" x14ac:dyDescent="0.15">
      <c r="B2" s="1" t="s">
        <v>269</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L2" s="277" t="s">
        <v>400</v>
      </c>
      <c r="AN2" s="274">
        <v>2017</v>
      </c>
      <c r="AO2" s="274">
        <v>2018</v>
      </c>
      <c r="AP2" s="274">
        <v>2019</v>
      </c>
      <c r="AQ2" s="274">
        <v>2020</v>
      </c>
      <c r="AR2" s="274">
        <v>2021</v>
      </c>
      <c r="AS2" s="274">
        <v>2022</v>
      </c>
      <c r="AT2" s="274">
        <v>2023</v>
      </c>
      <c r="AU2" s="274">
        <v>2024</v>
      </c>
      <c r="AV2" s="274">
        <v>2025</v>
      </c>
    </row>
    <row r="3" spans="2:48" x14ac:dyDescent="0.15">
      <c r="E3" s="257"/>
      <c r="I3" s="257"/>
      <c r="M3" s="257"/>
      <c r="Q3" s="257"/>
      <c r="U3" s="257"/>
      <c r="Y3" s="257"/>
      <c r="AC3" s="257"/>
      <c r="AG3" s="257"/>
      <c r="AK3" s="257"/>
    </row>
    <row r="4" spans="2:48" x14ac:dyDescent="0.15">
      <c r="B4" s="2" t="s">
        <v>12</v>
      </c>
      <c r="E4" s="257"/>
      <c r="I4" s="257"/>
      <c r="M4" s="257"/>
      <c r="Q4" s="257"/>
      <c r="U4" s="257"/>
      <c r="Y4" s="257"/>
      <c r="AC4" s="257"/>
      <c r="AG4" s="257"/>
      <c r="AK4" s="257"/>
    </row>
    <row r="5" spans="2:48" x14ac:dyDescent="0.15">
      <c r="B5" s="3" t="s">
        <v>1</v>
      </c>
      <c r="C5" s="247"/>
      <c r="D5" s="247"/>
      <c r="E5" s="258"/>
      <c r="F5" s="247"/>
      <c r="G5" s="247"/>
      <c r="H5" s="247"/>
      <c r="I5" s="258">
        <v>46.512351392924764</v>
      </c>
      <c r="J5" s="247">
        <v>46.27810138039834</v>
      </c>
      <c r="K5" s="247">
        <v>46.924578209377977</v>
      </c>
      <c r="L5" s="247">
        <v>56.235791936687505</v>
      </c>
      <c r="M5" s="258">
        <v>120.72029120299231</v>
      </c>
      <c r="N5" s="247">
        <v>99.303733639900699</v>
      </c>
      <c r="O5" s="247">
        <v>98.606410086746521</v>
      </c>
      <c r="P5" s="247">
        <v>112.50774290516094</v>
      </c>
      <c r="Q5" s="258">
        <v>165.25707617446631</v>
      </c>
      <c r="R5" s="247">
        <v>117.59133152213849</v>
      </c>
      <c r="S5" s="247">
        <v>105.64708119256747</v>
      </c>
      <c r="T5" s="247">
        <v>123.41613531916175</v>
      </c>
      <c r="U5" s="258">
        <v>130.08878685578168</v>
      </c>
      <c r="V5" s="247">
        <v>80.080418148326359</v>
      </c>
      <c r="W5" s="247">
        <v>83.251438405708271</v>
      </c>
      <c r="X5" s="247">
        <v>73.24728687692452</v>
      </c>
      <c r="Y5" s="258">
        <v>94.109710538180735</v>
      </c>
      <c r="Z5" s="247">
        <v>65.069069927072775</v>
      </c>
      <c r="AA5" s="247">
        <v>63.52069154491425</v>
      </c>
      <c r="AB5" s="247">
        <v>67.765442882212241</v>
      </c>
      <c r="AC5" s="258">
        <v>95.314136570320144</v>
      </c>
      <c r="AD5" s="247">
        <v>87.5061919276487</v>
      </c>
      <c r="AE5" s="247">
        <v>85.847084297632904</v>
      </c>
      <c r="AF5" s="247">
        <v>108.56439899525562</v>
      </c>
      <c r="AG5" s="258">
        <v>129.31822059695108</v>
      </c>
      <c r="AH5" s="247">
        <v>108.19201610119077</v>
      </c>
      <c r="AI5" s="247">
        <v>108.74590172414273</v>
      </c>
      <c r="AJ5" s="247">
        <v>115.60713560489475</v>
      </c>
      <c r="AK5" s="258">
        <v>139.280884937276</v>
      </c>
      <c r="AL5" s="247">
        <v>138.50145484693962</v>
      </c>
      <c r="AN5" s="247">
        <v>188.79860170462405</v>
      </c>
      <c r="AO5" s="247">
        <v>190.47803534673224</v>
      </c>
      <c r="AP5" s="247">
        <f t="shared" ref="AP5:AP11" si="0">SUM(I5:L5)</f>
        <v>195.9508229193886</v>
      </c>
      <c r="AQ5" s="247">
        <f t="shared" ref="AQ5:AQ11" si="1">SUM(M5:P5)</f>
        <v>431.13817783480044</v>
      </c>
      <c r="AR5" s="247">
        <f>SUM(Q5:T5)</f>
        <v>511.91162420833405</v>
      </c>
      <c r="AS5" s="247">
        <f>SUM(U5:X5)</f>
        <v>366.66793028674084</v>
      </c>
      <c r="AT5" s="247">
        <f>SUM(Y5:AB5)</f>
        <v>290.46491489238002</v>
      </c>
      <c r="AU5" s="247">
        <f>SUM(AC5:AF5)</f>
        <v>377.23181179085736</v>
      </c>
      <c r="AV5" s="247">
        <f>SUM(AG5:AJ5)</f>
        <v>461.86327402717939</v>
      </c>
    </row>
    <row r="6" spans="2:48" x14ac:dyDescent="0.15">
      <c r="B6" s="4" t="s">
        <v>345</v>
      </c>
      <c r="C6" s="247"/>
      <c r="D6" s="247"/>
      <c r="E6" s="258"/>
      <c r="F6" s="247"/>
      <c r="G6" s="247"/>
      <c r="H6" s="247"/>
      <c r="I6" s="258">
        <v>34.088734603991874</v>
      </c>
      <c r="J6" s="247">
        <v>39.314034319608368</v>
      </c>
      <c r="K6" s="247">
        <v>41.933645157189602</v>
      </c>
      <c r="L6" s="247">
        <v>47.553686836445621</v>
      </c>
      <c r="M6" s="258">
        <v>46.30856099866444</v>
      </c>
      <c r="N6" s="247">
        <v>42.908571638588342</v>
      </c>
      <c r="O6" s="247">
        <v>47.202018839828135</v>
      </c>
      <c r="P6" s="247">
        <v>60.143948782898896</v>
      </c>
      <c r="Q6" s="258">
        <v>65.416228470000007</v>
      </c>
      <c r="R6" s="247">
        <v>65.334398980000003</v>
      </c>
      <c r="S6" s="247">
        <v>70.895923920000001</v>
      </c>
      <c r="T6" s="247">
        <v>72.629508120000025</v>
      </c>
      <c r="U6" s="258">
        <v>64.904533000000001</v>
      </c>
      <c r="V6" s="247">
        <v>65.113063530000005</v>
      </c>
      <c r="W6" s="247">
        <v>59.385447550000009</v>
      </c>
      <c r="X6" s="247">
        <v>43.255765570000001</v>
      </c>
      <c r="Y6" s="258">
        <v>60.819940589999995</v>
      </c>
      <c r="Z6" s="247">
        <v>62.624720279999998</v>
      </c>
      <c r="AA6" s="247">
        <v>63.594156847854549</v>
      </c>
      <c r="AB6" s="247">
        <v>64.751706019999972</v>
      </c>
      <c r="AC6" s="258">
        <v>70.855761066440749</v>
      </c>
      <c r="AD6" s="247">
        <v>75.4507650682106</v>
      </c>
      <c r="AE6" s="247">
        <v>78.062522333538624</v>
      </c>
      <c r="AF6" s="247">
        <v>84.684897522516138</v>
      </c>
      <c r="AG6" s="258">
        <v>86.317697217586385</v>
      </c>
      <c r="AH6" s="247">
        <v>75.648608059501015</v>
      </c>
      <c r="AI6" s="247">
        <v>79.416632993080285</v>
      </c>
      <c r="AJ6" s="247">
        <v>88.8110429653578</v>
      </c>
      <c r="AK6" s="258">
        <v>85.534081993861889</v>
      </c>
      <c r="AL6" s="247">
        <v>90.390369853796585</v>
      </c>
      <c r="AN6" s="247">
        <v>122.17168641931121</v>
      </c>
      <c r="AO6" s="247">
        <v>143.18179443939414</v>
      </c>
      <c r="AP6" s="247">
        <f t="shared" si="0"/>
        <v>162.89010091723546</v>
      </c>
      <c r="AQ6" s="247">
        <f t="shared" si="1"/>
        <v>196.56310025997979</v>
      </c>
      <c r="AR6" s="247">
        <f>SUM(Q6:T6)</f>
        <v>274.27605949000008</v>
      </c>
      <c r="AS6" s="247">
        <f>SUM(U6:X6)</f>
        <v>232.65880964999999</v>
      </c>
      <c r="AT6" s="247">
        <f>SUM(Y6:AB6)</f>
        <v>251.79052373785453</v>
      </c>
      <c r="AU6" s="247">
        <f>SUM(AC6:AF6)</f>
        <v>309.0539459907061</v>
      </c>
      <c r="AV6" s="247">
        <f>SUM(AG6:AJ6)</f>
        <v>330.19398123552548</v>
      </c>
    </row>
    <row r="7" spans="2:48" x14ac:dyDescent="0.15">
      <c r="B7" s="4" t="s">
        <v>344</v>
      </c>
      <c r="C7" s="247"/>
      <c r="D7" s="247"/>
      <c r="E7" s="258"/>
      <c r="F7" s="247"/>
      <c r="G7" s="247"/>
      <c r="H7" s="247"/>
      <c r="I7" s="258">
        <v>4.2506971657320207</v>
      </c>
      <c r="J7" s="247">
        <v>4.6027017675529933</v>
      </c>
      <c r="K7" s="247">
        <v>5.166877958289021</v>
      </c>
      <c r="L7" s="247">
        <v>8.1110960064175188</v>
      </c>
      <c r="M7" s="258">
        <v>6.1114131924221908</v>
      </c>
      <c r="N7" s="247">
        <v>5.2080673791578178</v>
      </c>
      <c r="O7" s="247">
        <v>5.8661598963065558</v>
      </c>
      <c r="P7" s="247">
        <v>8.4995147030421734</v>
      </c>
      <c r="Q7" s="258">
        <v>3.235190416738206</v>
      </c>
      <c r="R7" s="247">
        <v>4.0543001590487791</v>
      </c>
      <c r="S7" s="247">
        <v>5.9365305705360925</v>
      </c>
      <c r="T7" s="247">
        <v>6.0888945913466159</v>
      </c>
      <c r="U7" s="258">
        <v>3.2261306646861954</v>
      </c>
      <c r="V7" s="247">
        <v>0.67475124359329786</v>
      </c>
      <c r="W7" s="247">
        <v>3.3423765530417562</v>
      </c>
      <c r="X7" s="247">
        <v>3.466208307559222</v>
      </c>
      <c r="Y7" s="258">
        <v>2.4271370513322355</v>
      </c>
      <c r="Z7" s="247">
        <v>7.5748745960249897</v>
      </c>
      <c r="AA7" s="247">
        <v>4.1282183174424691</v>
      </c>
      <c r="AB7" s="247">
        <v>0.94050597301028671</v>
      </c>
      <c r="AC7" s="258">
        <v>2.6391027886878318</v>
      </c>
      <c r="AD7" s="247">
        <v>1.2688547714220992</v>
      </c>
      <c r="AE7" s="247">
        <v>-1.3931622044536323</v>
      </c>
      <c r="AF7" s="247">
        <v>-0.10901221639191359</v>
      </c>
      <c r="AG7" s="258">
        <v>0.54632711168307257</v>
      </c>
      <c r="AH7" s="247">
        <v>0.6180458251489066</v>
      </c>
      <c r="AI7" s="247">
        <v>-4.6168392960184477</v>
      </c>
      <c r="AJ7" s="247">
        <v>-0.84600761606492847</v>
      </c>
      <c r="AK7" s="258">
        <v>-4.216879362828247</v>
      </c>
      <c r="AL7" s="247">
        <v>-1.0195040203063135</v>
      </c>
      <c r="AN7" s="247">
        <v>10.26564698973948</v>
      </c>
      <c r="AO7" s="247">
        <v>17.141602950296374</v>
      </c>
      <c r="AP7" s="247">
        <f>SUM(I7:L7)</f>
        <v>22.131372897991554</v>
      </c>
      <c r="AQ7" s="247">
        <f>SUM(M7:P7)</f>
        <v>25.685155170928738</v>
      </c>
      <c r="AR7" s="247">
        <f>SUM(Q7:T7)</f>
        <v>19.314915737669693</v>
      </c>
      <c r="AS7" s="247">
        <f>SUM(U7:X7)</f>
        <v>10.709466768880471</v>
      </c>
      <c r="AT7" s="247">
        <f>SUM(Y7:AB7)</f>
        <v>15.070735937809982</v>
      </c>
      <c r="AU7" s="247">
        <f>SUM(AC7:AF7)</f>
        <v>2.4057831392643849</v>
      </c>
      <c r="AV7" s="247">
        <f>SUM(AG7:AJ7)</f>
        <v>-4.2984739752513965</v>
      </c>
    </row>
    <row r="8" spans="2:48" s="12" customFormat="1" x14ac:dyDescent="0.15">
      <c r="B8" s="5" t="s">
        <v>138</v>
      </c>
      <c r="C8" s="249"/>
      <c r="D8" s="249"/>
      <c r="E8" s="259"/>
      <c r="F8" s="249"/>
      <c r="G8" s="249"/>
      <c r="H8" s="249"/>
      <c r="I8" s="259">
        <f t="shared" ref="I8:X8" si="2">SUM(I5:I7)</f>
        <v>84.851783162648658</v>
      </c>
      <c r="J8" s="249">
        <f t="shared" si="2"/>
        <v>90.194837467559694</v>
      </c>
      <c r="K8" s="249">
        <f t="shared" si="2"/>
        <v>94.025101324856607</v>
      </c>
      <c r="L8" s="249">
        <f t="shared" si="2"/>
        <v>111.90057477955065</v>
      </c>
      <c r="M8" s="259">
        <f t="shared" si="2"/>
        <v>173.14026539407894</v>
      </c>
      <c r="N8" s="249">
        <f t="shared" si="2"/>
        <v>147.42037265764688</v>
      </c>
      <c r="O8" s="249">
        <f t="shared" si="2"/>
        <v>151.67458882288122</v>
      </c>
      <c r="P8" s="249">
        <f t="shared" si="2"/>
        <v>181.15120639110199</v>
      </c>
      <c r="Q8" s="259">
        <f t="shared" si="2"/>
        <v>233.90849506120452</v>
      </c>
      <c r="R8" s="249">
        <f t="shared" si="2"/>
        <v>186.98003066118727</v>
      </c>
      <c r="S8" s="249">
        <f t="shared" si="2"/>
        <v>182.47953568310356</v>
      </c>
      <c r="T8" s="249">
        <f t="shared" si="2"/>
        <v>202.13453803050839</v>
      </c>
      <c r="U8" s="259">
        <f t="shared" si="2"/>
        <v>198.21945052046789</v>
      </c>
      <c r="V8" s="249">
        <f t="shared" si="2"/>
        <v>145.86823292191966</v>
      </c>
      <c r="W8" s="249">
        <f t="shared" si="2"/>
        <v>145.97926250875005</v>
      </c>
      <c r="X8" s="249">
        <f t="shared" si="2"/>
        <v>119.96926075448376</v>
      </c>
      <c r="Y8" s="259">
        <f>SUM(Y5:Y7)</f>
        <v>157.35678817951296</v>
      </c>
      <c r="Z8" s="249">
        <f>SUM(Z5:Z7)</f>
        <v>135.26866480309775</v>
      </c>
      <c r="AA8" s="249">
        <f>SUM(AA5:AA7)</f>
        <v>131.24306671021128</v>
      </c>
      <c r="AB8" s="249">
        <f>SUM(AB5:AB7)</f>
        <v>133.45765487522252</v>
      </c>
      <c r="AC8" s="259">
        <f t="shared" ref="AC8:AL8" si="3">SUM(AC5:AC7)</f>
        <v>168.80900042544872</v>
      </c>
      <c r="AD8" s="249">
        <f t="shared" si="3"/>
        <v>164.22581176728139</v>
      </c>
      <c r="AE8" s="249">
        <f t="shared" si="3"/>
        <v>162.5164444267179</v>
      </c>
      <c r="AF8" s="249">
        <f t="shared" si="3"/>
        <v>193.14028430137986</v>
      </c>
      <c r="AG8" s="259">
        <f t="shared" si="3"/>
        <v>216.18224492622053</v>
      </c>
      <c r="AH8" s="249">
        <f t="shared" si="3"/>
        <v>184.45866998584069</v>
      </c>
      <c r="AI8" s="249">
        <f t="shared" si="3"/>
        <v>183.54569542120458</v>
      </c>
      <c r="AJ8" s="249">
        <f t="shared" si="3"/>
        <v>203.57217095418764</v>
      </c>
      <c r="AK8" s="259">
        <f t="shared" si="3"/>
        <v>220.59808756830964</v>
      </c>
      <c r="AL8" s="249">
        <f t="shared" si="3"/>
        <v>227.87232068042991</v>
      </c>
      <c r="AM8" s="211"/>
      <c r="AN8" s="249">
        <f t="shared" ref="AN8:AS8" si="4">SUM(AN5:AN7)</f>
        <v>321.23593511367471</v>
      </c>
      <c r="AO8" s="249">
        <f t="shared" si="4"/>
        <v>350.80143273642273</v>
      </c>
      <c r="AP8" s="249">
        <f t="shared" si="4"/>
        <v>380.97229673461561</v>
      </c>
      <c r="AQ8" s="249">
        <f t="shared" si="4"/>
        <v>653.386433265709</v>
      </c>
      <c r="AR8" s="249">
        <f t="shared" si="4"/>
        <v>805.50259943600383</v>
      </c>
      <c r="AS8" s="249">
        <f t="shared" si="4"/>
        <v>610.03620670562134</v>
      </c>
      <c r="AT8" s="249">
        <f>SUM(AT5:AT7)</f>
        <v>557.32617456804451</v>
      </c>
      <c r="AU8" s="249">
        <f>SUM(AU5:AU7)</f>
        <v>688.69154092082783</v>
      </c>
      <c r="AV8" s="249">
        <f>SUM(AV5:AV7)</f>
        <v>787.75878128745353</v>
      </c>
    </row>
    <row r="9" spans="2:48" x14ac:dyDescent="0.15">
      <c r="B9" s="6" t="s">
        <v>2</v>
      </c>
      <c r="C9" s="247"/>
      <c r="D9" s="247"/>
      <c r="E9" s="258"/>
      <c r="F9" s="247"/>
      <c r="G9" s="247"/>
      <c r="H9" s="247"/>
      <c r="I9" s="258">
        <v>82.734982756495995</v>
      </c>
      <c r="J9" s="247">
        <v>91.909517501346997</v>
      </c>
      <c r="K9" s="247">
        <v>95.37357036679299</v>
      </c>
      <c r="L9" s="247">
        <v>96.177157686848304</v>
      </c>
      <c r="M9" s="258">
        <v>100.14381280863552</v>
      </c>
      <c r="N9" s="247">
        <v>108.54503998106325</v>
      </c>
      <c r="O9" s="247">
        <v>112.334763316482</v>
      </c>
      <c r="P9" s="247">
        <v>106.05032567181799</v>
      </c>
      <c r="Q9" s="258">
        <v>108.37620918242868</v>
      </c>
      <c r="R9" s="247">
        <v>117.17118230975906</v>
      </c>
      <c r="S9" s="247">
        <v>115.3518596752142</v>
      </c>
      <c r="T9" s="247">
        <v>117.71226643683168</v>
      </c>
      <c r="U9" s="258">
        <v>115.48901625654146</v>
      </c>
      <c r="V9" s="247">
        <v>125.80463098651907</v>
      </c>
      <c r="W9" s="247">
        <v>173.00586901273968</v>
      </c>
      <c r="X9" s="247">
        <v>259.73609293259773</v>
      </c>
      <c r="Y9" s="258">
        <v>255.76244047390281</v>
      </c>
      <c r="Z9" s="247">
        <v>259.44804427162006</v>
      </c>
      <c r="AA9" s="247">
        <v>278.91175056758397</v>
      </c>
      <c r="AB9" s="247">
        <v>288.38767084614773</v>
      </c>
      <c r="AC9" s="258">
        <v>280.32967706359858</v>
      </c>
      <c r="AD9" s="247">
        <v>272.38413719854134</v>
      </c>
      <c r="AE9" s="247">
        <v>254.65814429453485</v>
      </c>
      <c r="AF9" s="247">
        <f>214.312789168293</f>
        <v>214.31278916829299</v>
      </c>
      <c r="AG9" s="258">
        <v>186.4011279109923</v>
      </c>
      <c r="AH9" s="247">
        <v>188.82370056588218</v>
      </c>
      <c r="AI9" s="247">
        <v>184.41007156653524</v>
      </c>
      <c r="AJ9" s="247">
        <v>175.6395406951932</v>
      </c>
      <c r="AK9" s="258">
        <v>175.24099269307135</v>
      </c>
      <c r="AL9" s="247">
        <v>190.8112666872882</v>
      </c>
      <c r="AN9" s="247">
        <v>301.71822989258777</v>
      </c>
      <c r="AO9" s="247">
        <v>296.16993703815558</v>
      </c>
      <c r="AP9" s="247">
        <f t="shared" si="0"/>
        <v>366.1952283114843</v>
      </c>
      <c r="AQ9" s="247">
        <f t="shared" si="1"/>
        <v>427.07394177799875</v>
      </c>
      <c r="AR9" s="247">
        <f>SUM(Q9:T9)</f>
        <v>458.6115176042336</v>
      </c>
      <c r="AS9" s="247">
        <f>SUM(U9:X9)</f>
        <v>674.03560918839798</v>
      </c>
      <c r="AT9" s="247">
        <f>SUM(Y9:AB9)</f>
        <v>1082.5099061592546</v>
      </c>
      <c r="AU9" s="247">
        <f>SUM(AC9:AF9)</f>
        <v>1021.6847477249678</v>
      </c>
      <c r="AV9" s="247">
        <f>SUM(AG9:AJ9)</f>
        <v>735.27444073860295</v>
      </c>
    </row>
    <row r="10" spans="2:48" x14ac:dyDescent="0.15">
      <c r="B10" s="6" t="s">
        <v>3</v>
      </c>
      <c r="C10" s="247"/>
      <c r="D10" s="247"/>
      <c r="E10" s="258"/>
      <c r="F10" s="247"/>
      <c r="G10" s="247"/>
      <c r="H10" s="247"/>
      <c r="I10" s="258">
        <f>16.649828748378-I20</f>
        <v>0.20632874837799875</v>
      </c>
      <c r="J10" s="247">
        <v>0.28614739179300519</v>
      </c>
      <c r="K10" s="247">
        <v>-2.0371326674090122</v>
      </c>
      <c r="L10" s="247">
        <v>0.26918245801440438</v>
      </c>
      <c r="M10" s="258">
        <v>-0.56239760597111654</v>
      </c>
      <c r="N10" s="247">
        <v>-1.2627806037080809</v>
      </c>
      <c r="O10" s="247">
        <v>0.49859897804329173</v>
      </c>
      <c r="P10" s="247">
        <v>1.0293335907355026</v>
      </c>
      <c r="Q10" s="258">
        <v>-0.42218751132549348</v>
      </c>
      <c r="R10" s="247">
        <v>8.0000284359505027</v>
      </c>
      <c r="S10" s="247">
        <v>6.8108343130545022</v>
      </c>
      <c r="T10" s="247">
        <v>1.0220761411520018</v>
      </c>
      <c r="U10" s="258">
        <v>-5.0981356607897501</v>
      </c>
      <c r="V10" s="247">
        <v>-2.8076303782725005</v>
      </c>
      <c r="W10" s="247">
        <v>0.22741922658300318</v>
      </c>
      <c r="X10" s="247">
        <v>-1.2204500570864976</v>
      </c>
      <c r="Y10" s="258">
        <v>-3.9369585405792513</v>
      </c>
      <c r="Z10" s="247">
        <v>-0.81817665860850108</v>
      </c>
      <c r="AA10" s="247">
        <v>-0.37390855386700012</v>
      </c>
      <c r="AB10" s="247">
        <v>0.22451449709799798</v>
      </c>
      <c r="AC10" s="258">
        <v>0.99103330043076399</v>
      </c>
      <c r="AD10" s="247">
        <v>-0.70997398788802801</v>
      </c>
      <c r="AE10" s="247">
        <v>0.28088703814486993</v>
      </c>
      <c r="AF10" s="247">
        <v>-0.90095978850510516</v>
      </c>
      <c r="AG10" s="258">
        <v>0.56660727201169347</v>
      </c>
      <c r="AH10" s="247">
        <v>-0.83144982397982581</v>
      </c>
      <c r="AI10" s="247">
        <v>-0.65962028025910324</v>
      </c>
      <c r="AJ10" s="247">
        <v>-2.6997707662719566</v>
      </c>
      <c r="AK10" s="258">
        <v>-1.7265100960998838</v>
      </c>
      <c r="AL10" s="247">
        <v>1.1944187884512085</v>
      </c>
      <c r="AN10" s="247">
        <v>-1.0616142994548172</v>
      </c>
      <c r="AO10" s="247">
        <v>1.213517258874417</v>
      </c>
      <c r="AP10" s="247">
        <f t="shared" si="0"/>
        <v>-1.2754740692236037</v>
      </c>
      <c r="AQ10" s="247">
        <f t="shared" si="1"/>
        <v>-0.29724564090040295</v>
      </c>
      <c r="AR10" s="247">
        <f>SUM(Q10:T10)</f>
        <v>15.410751378831513</v>
      </c>
      <c r="AS10" s="247">
        <f>SUM(U10:X10)</f>
        <v>-8.8987968695657447</v>
      </c>
      <c r="AT10" s="247">
        <f>SUM(Y10:AB10)</f>
        <v>-4.9045292559567546</v>
      </c>
      <c r="AU10" s="247">
        <f>SUM(AC10:AF10)</f>
        <v>-0.33901343781749926</v>
      </c>
      <c r="AV10" s="247">
        <f>SUM(AG10:AJ10)</f>
        <v>-3.6242335984991922</v>
      </c>
    </row>
    <row r="11" spans="2:48" x14ac:dyDescent="0.15">
      <c r="B11" s="6" t="s">
        <v>4</v>
      </c>
      <c r="C11" s="247"/>
      <c r="D11" s="247"/>
      <c r="E11" s="258"/>
      <c r="F11" s="247"/>
      <c r="G11" s="247"/>
      <c r="H11" s="247"/>
      <c r="I11" s="258">
        <v>9.9200270880640282</v>
      </c>
      <c r="J11" s="247">
        <v>7.7689701705538834</v>
      </c>
      <c r="K11" s="247">
        <v>5.366540629323068</v>
      </c>
      <c r="L11" s="247">
        <v>9.752898556099721</v>
      </c>
      <c r="M11" s="258">
        <v>4.8975838760314163</v>
      </c>
      <c r="N11" s="247">
        <v>5.7089934641627975</v>
      </c>
      <c r="O11" s="247">
        <v>8.1541298134857687</v>
      </c>
      <c r="P11" s="247">
        <v>11.28040012338821</v>
      </c>
      <c r="Q11" s="258">
        <v>7.1978736964544145</v>
      </c>
      <c r="R11" s="247">
        <v>15.876299370595589</v>
      </c>
      <c r="S11" s="247">
        <v>7.615380398512297</v>
      </c>
      <c r="T11" s="247">
        <v>16.757979160560325</v>
      </c>
      <c r="U11" s="258">
        <v>16.606691057543642</v>
      </c>
      <c r="V11" s="247">
        <v>1.9408720131729367</v>
      </c>
      <c r="W11" s="247">
        <v>-11.899871692552793</v>
      </c>
      <c r="X11" s="247">
        <v>0.61383605810257369</v>
      </c>
      <c r="Y11" s="258">
        <v>0.38529799557387268</v>
      </c>
      <c r="Z11" s="247">
        <v>-5.5755986713316625</v>
      </c>
      <c r="AA11" s="247">
        <v>-7.6366952219817632</v>
      </c>
      <c r="AB11" s="247">
        <v>-4.8748789120426315</v>
      </c>
      <c r="AC11" s="258">
        <v>-9.067350387229741</v>
      </c>
      <c r="AD11" s="247">
        <v>-8.5751134354483209</v>
      </c>
      <c r="AE11" s="247">
        <v>-5.867987956193657</v>
      </c>
      <c r="AF11" s="247">
        <f>-7.38029216228415</f>
        <v>-7.3802921622841504</v>
      </c>
      <c r="AG11" s="258">
        <v>-12.300288455717912</v>
      </c>
      <c r="AH11" s="247">
        <v>-13.057921635383277</v>
      </c>
      <c r="AI11" s="247">
        <v>-12.544902746766043</v>
      </c>
      <c r="AJ11" s="247">
        <v>-15.537163671446519</v>
      </c>
      <c r="AK11" s="258">
        <v>-14.060818083800845</v>
      </c>
      <c r="AL11" s="247">
        <v>-14.109217609898558</v>
      </c>
      <c r="AN11" s="247">
        <v>29.095732497370342</v>
      </c>
      <c r="AO11" s="247">
        <f>+Group!AN14-Norway!AO11-Denmark!AO11-Finland!AO11</f>
        <v>27.882943341910572</v>
      </c>
      <c r="AP11" s="247">
        <f t="shared" si="0"/>
        <v>32.808436444040701</v>
      </c>
      <c r="AQ11" s="247">
        <f t="shared" si="1"/>
        <v>30.041107277068193</v>
      </c>
      <c r="AR11" s="247">
        <f>SUM(Q11:T11)</f>
        <v>47.447532626122623</v>
      </c>
      <c r="AS11" s="247">
        <f>SUM(U11:X11)</f>
        <v>7.2615274362663582</v>
      </c>
      <c r="AT11" s="247">
        <f>SUM(Y11:AB11)</f>
        <v>-17.701874809782186</v>
      </c>
      <c r="AU11" s="247">
        <f>SUM(AC11:AF11)</f>
        <v>-30.890743941155868</v>
      </c>
      <c r="AV11" s="247">
        <f>SUM(AG11:AJ11)</f>
        <v>-53.440276509313755</v>
      </c>
    </row>
    <row r="12" spans="2:48" x14ac:dyDescent="0.15">
      <c r="B12" s="243" t="s">
        <v>172</v>
      </c>
      <c r="C12" s="249"/>
      <c r="D12" s="249"/>
      <c r="E12" s="259">
        <v>171.58661613559664</v>
      </c>
      <c r="F12" s="249">
        <v>165.26507090972967</v>
      </c>
      <c r="G12" s="249">
        <v>163.77723637920116</v>
      </c>
      <c r="H12" s="249">
        <v>170.56397299083591</v>
      </c>
      <c r="I12" s="259">
        <f>SUM(I8:I11)</f>
        <v>177.71312175558668</v>
      </c>
      <c r="J12" s="249">
        <f t="shared" ref="J12:P12" si="5">SUM(J8:J11)</f>
        <v>190.15947253125358</v>
      </c>
      <c r="K12" s="249">
        <f t="shared" si="5"/>
        <v>192.72807965356364</v>
      </c>
      <c r="L12" s="249">
        <f t="shared" si="5"/>
        <v>218.09981348051309</v>
      </c>
      <c r="M12" s="259">
        <f t="shared" si="5"/>
        <v>277.61926447277477</v>
      </c>
      <c r="N12" s="249">
        <f t="shared" si="5"/>
        <v>260.41162549916481</v>
      </c>
      <c r="O12" s="249">
        <f t="shared" si="5"/>
        <v>272.66208093089227</v>
      </c>
      <c r="P12" s="249">
        <f t="shared" si="5"/>
        <v>299.51126577704372</v>
      </c>
      <c r="Q12" s="259">
        <f t="shared" ref="Q12:W12" si="6">SUM(Q8:Q11)</f>
        <v>349.0603904287621</v>
      </c>
      <c r="R12" s="249">
        <f t="shared" si="6"/>
        <v>328.02754077749245</v>
      </c>
      <c r="S12" s="249">
        <f t="shared" si="6"/>
        <v>312.25761006988455</v>
      </c>
      <c r="T12" s="249">
        <f t="shared" si="6"/>
        <v>337.62685976905243</v>
      </c>
      <c r="U12" s="259">
        <f t="shared" si="6"/>
        <v>325.21702217376321</v>
      </c>
      <c r="V12" s="249">
        <f t="shared" si="6"/>
        <v>270.80610554333919</v>
      </c>
      <c r="W12" s="249">
        <f t="shared" si="6"/>
        <v>307.31267905551994</v>
      </c>
      <c r="X12" s="249">
        <f t="shared" ref="X12:AC12" si="7">SUM(X8:X11)</f>
        <v>379.09873968809751</v>
      </c>
      <c r="Y12" s="259">
        <f t="shared" si="7"/>
        <v>409.5675681084104</v>
      </c>
      <c r="Z12" s="249">
        <f t="shared" si="7"/>
        <v>388.32293374477769</v>
      </c>
      <c r="AA12" s="249">
        <f>SUM(AA8:AA11)</f>
        <v>402.14421350194647</v>
      </c>
      <c r="AB12" s="249">
        <f t="shared" si="7"/>
        <v>417.19496130642563</v>
      </c>
      <c r="AC12" s="259">
        <f t="shared" si="7"/>
        <v>441.06236040224832</v>
      </c>
      <c r="AD12" s="249">
        <f t="shared" ref="AD12:AL12" si="8">SUM(AD8:AD11)</f>
        <v>427.32486154248636</v>
      </c>
      <c r="AE12" s="249">
        <f t="shared" si="8"/>
        <v>411.587487803204</v>
      </c>
      <c r="AF12" s="249">
        <f t="shared" si="8"/>
        <v>399.17182151888358</v>
      </c>
      <c r="AG12" s="259">
        <f t="shared" si="8"/>
        <v>390.84969165350662</v>
      </c>
      <c r="AH12" s="249">
        <f t="shared" si="8"/>
        <v>359.39299909235979</v>
      </c>
      <c r="AI12" s="249">
        <f t="shared" si="8"/>
        <v>354.75124396071465</v>
      </c>
      <c r="AJ12" s="249">
        <f t="shared" si="8"/>
        <v>360.97477721166234</v>
      </c>
      <c r="AK12" s="259">
        <f t="shared" si="8"/>
        <v>380.05175208148029</v>
      </c>
      <c r="AL12" s="249">
        <f t="shared" si="8"/>
        <v>405.7687885462708</v>
      </c>
      <c r="AN12" s="249">
        <f t="shared" ref="AN12:AT12" si="9">SUM(AN8:AN11)</f>
        <v>650.98828320417795</v>
      </c>
      <c r="AO12" s="249">
        <f t="shared" si="9"/>
        <v>676.06783037536331</v>
      </c>
      <c r="AP12" s="249">
        <f t="shared" si="9"/>
        <v>778.70048742091694</v>
      </c>
      <c r="AQ12" s="249">
        <f t="shared" si="9"/>
        <v>1110.2042366798755</v>
      </c>
      <c r="AR12" s="249">
        <f t="shared" si="9"/>
        <v>1326.9724010451916</v>
      </c>
      <c r="AS12" s="249">
        <f t="shared" si="9"/>
        <v>1282.43454646072</v>
      </c>
      <c r="AT12" s="249">
        <f t="shared" si="9"/>
        <v>1617.2296766615602</v>
      </c>
      <c r="AU12" s="249">
        <f t="shared" ref="AU12" si="10">SUM(AU8:AU11)</f>
        <v>1679.1465312668222</v>
      </c>
      <c r="AV12" s="249">
        <f t="shared" ref="AV12" si="11">SUM(AV8:AV11)</f>
        <v>1465.9687119182438</v>
      </c>
    </row>
    <row r="13" spans="2:48" x14ac:dyDescent="0.15">
      <c r="B13" s="7"/>
      <c r="E13" s="257"/>
      <c r="I13" s="257"/>
      <c r="M13" s="257"/>
      <c r="Q13" s="257"/>
      <c r="U13" s="257"/>
      <c r="Y13" s="257"/>
      <c r="AC13" s="257"/>
      <c r="AG13" s="257"/>
      <c r="AK13" s="257"/>
    </row>
    <row r="14" spans="2:48" x14ac:dyDescent="0.15">
      <c r="B14" s="2" t="s">
        <v>290</v>
      </c>
      <c r="C14" s="249"/>
      <c r="D14" s="249"/>
      <c r="E14" s="259"/>
      <c r="F14" s="249"/>
      <c r="G14" s="249"/>
      <c r="H14" s="249"/>
      <c r="I14" s="259">
        <v>-120.09294561701583</v>
      </c>
      <c r="J14" s="249">
        <v>-120.44796282769704</v>
      </c>
      <c r="K14" s="249">
        <v>-120.16368719129673</v>
      </c>
      <c r="L14" s="249">
        <f>-127.316770323566-L21</f>
        <v>-119.816770323566</v>
      </c>
      <c r="M14" s="259">
        <v>-110.51158553795939</v>
      </c>
      <c r="N14" s="249">
        <f>-109.535061987401-N21</f>
        <v>-106.78506198740099</v>
      </c>
      <c r="O14" s="249">
        <f>-112.199392720766-O21</f>
        <v>-107.464392720766</v>
      </c>
      <c r="P14" s="249">
        <f>-140.954628940957-P21</f>
        <v>-116.11212894095701</v>
      </c>
      <c r="Q14" s="259">
        <v>-108.13274417739082</v>
      </c>
      <c r="R14" s="249">
        <v>-112.67828881873825</v>
      </c>
      <c r="S14" s="249">
        <v>-110.18971004379088</v>
      </c>
      <c r="T14" s="249">
        <v>-117.08813651614169</v>
      </c>
      <c r="U14" s="259">
        <f>-115.85378548719-U21</f>
        <v>-115.37778548719</v>
      </c>
      <c r="V14" s="249">
        <v>-114.64143148277604</v>
      </c>
      <c r="W14" s="249">
        <v>-114.52210285998549</v>
      </c>
      <c r="X14" s="249">
        <v>-109.93354032726377</v>
      </c>
      <c r="Y14" s="259">
        <v>-117.76314638980821</v>
      </c>
      <c r="Z14" s="249">
        <v>-114.57109664119885</v>
      </c>
      <c r="AA14" s="249">
        <v>-111.85316893399033</v>
      </c>
      <c r="AB14" s="249">
        <v>-110.61822993401235</v>
      </c>
      <c r="AC14" s="259">
        <v>-122.46991882861334</v>
      </c>
      <c r="AD14" s="249">
        <v>-130.62539307334669</v>
      </c>
      <c r="AE14" s="249">
        <v>-118.86052297234646</v>
      </c>
      <c r="AF14" s="249">
        <v>-131.16628903046234</v>
      </c>
      <c r="AG14" s="259">
        <v>-132.60828339627636</v>
      </c>
      <c r="AH14" s="249">
        <v>-132.12216140052709</v>
      </c>
      <c r="AI14" s="249">
        <v>-135.14894093685962</v>
      </c>
      <c r="AJ14" s="249">
        <v>-144.34518005807007</v>
      </c>
      <c r="AK14" s="259">
        <v>-140.16469777137308</v>
      </c>
      <c r="AL14" s="249">
        <v>-140.49988768553226</v>
      </c>
      <c r="AN14" s="249">
        <f>-509.43241430713-AN21</f>
        <v>-498.18241430712999</v>
      </c>
      <c r="AO14" s="249">
        <v>-532.24215238844954</v>
      </c>
      <c r="AP14" s="249">
        <f>SUM(I14:L14)</f>
        <v>-480.52136595957558</v>
      </c>
      <c r="AQ14" s="249">
        <f>SUM(M14:P14)</f>
        <v>-440.87316918708342</v>
      </c>
      <c r="AR14" s="249">
        <f>SUM(Q14:T14)</f>
        <v>-448.08887955606161</v>
      </c>
      <c r="AS14" s="249">
        <f>SUM(U14:X14)</f>
        <v>-454.47486015721529</v>
      </c>
      <c r="AT14" s="249">
        <f>SUM(Y14:AB14)</f>
        <v>-454.80564189900974</v>
      </c>
      <c r="AU14" s="249">
        <f>SUM(AC14:AF14)</f>
        <v>-503.12212390476884</v>
      </c>
      <c r="AV14" s="249">
        <f>SUM(AG14:AJ14)</f>
        <v>-544.22456579173308</v>
      </c>
    </row>
    <row r="15" spans="2:48" x14ac:dyDescent="0.15">
      <c r="B15" s="7"/>
      <c r="E15" s="257"/>
      <c r="I15" s="257"/>
      <c r="M15" s="257"/>
      <c r="Q15" s="257"/>
      <c r="U15" s="257"/>
      <c r="Y15" s="257"/>
      <c r="AC15" s="257"/>
      <c r="AG15" s="257"/>
      <c r="AK15" s="257"/>
    </row>
    <row r="16" spans="2:48" x14ac:dyDescent="0.15">
      <c r="B16" s="6" t="s">
        <v>10</v>
      </c>
      <c r="C16" s="247"/>
      <c r="D16" s="247"/>
      <c r="E16" s="258"/>
      <c r="F16" s="247"/>
      <c r="G16" s="247"/>
      <c r="H16" s="247"/>
      <c r="I16" s="258">
        <v>-6.5535422789149997</v>
      </c>
      <c r="J16" s="247">
        <v>-8.5763447665459989</v>
      </c>
      <c r="K16" s="247">
        <v>-7.3872623007521439</v>
      </c>
      <c r="L16" s="247">
        <v>-9.7251380556610023</v>
      </c>
      <c r="M16" s="258">
        <v>-15.520935128827997</v>
      </c>
      <c r="N16" s="247">
        <v>-12.313516236288013</v>
      </c>
      <c r="O16" s="247">
        <v>-3.0275378387369933</v>
      </c>
      <c r="P16" s="247">
        <v>-7.9045298557559995</v>
      </c>
      <c r="Q16" s="258">
        <v>-3.0226034322089999</v>
      </c>
      <c r="R16" s="247">
        <v>-9.931984980335999</v>
      </c>
      <c r="S16" s="247">
        <v>-8.1022730207840006</v>
      </c>
      <c r="T16" s="247">
        <v>-14.677040252281</v>
      </c>
      <c r="U16" s="258">
        <v>-9.8536161788989993</v>
      </c>
      <c r="V16" s="247">
        <v>-7.8732084678879994</v>
      </c>
      <c r="W16" s="247">
        <v>-14.005617547596749</v>
      </c>
      <c r="X16" s="247">
        <v>-8.3006252230532507</v>
      </c>
      <c r="Y16" s="258">
        <v>-19.326913507197997</v>
      </c>
      <c r="Z16" s="247">
        <v>-17.290910086714998</v>
      </c>
      <c r="AA16" s="247">
        <v>-20.614438183893</v>
      </c>
      <c r="AB16" s="247">
        <v>-23.081555139942001</v>
      </c>
      <c r="AC16" s="258">
        <v>-21.644309772665419</v>
      </c>
      <c r="AD16" s="247">
        <v>-27.628598871023758</v>
      </c>
      <c r="AE16" s="247">
        <v>-13.238719794893909</v>
      </c>
      <c r="AF16" s="247">
        <v>-1.4170258836394622</v>
      </c>
      <c r="AG16" s="258">
        <v>-0.50723387074689363</v>
      </c>
      <c r="AH16" s="247">
        <v>0.74800645317874814</v>
      </c>
      <c r="AI16" s="247">
        <v>-0.51986183269591424</v>
      </c>
      <c r="AJ16" s="247">
        <v>-0.76793663692041325</v>
      </c>
      <c r="AK16" s="258">
        <v>-0.30246702966792022</v>
      </c>
      <c r="AL16" s="247">
        <v>0.41080289188352692</v>
      </c>
      <c r="AN16" s="247">
        <v>-35.253776272228997</v>
      </c>
      <c r="AO16" s="247">
        <v>-34.596439972192904</v>
      </c>
      <c r="AP16" s="247">
        <f>SUM(I16:L16)</f>
        <v>-32.242287401874144</v>
      </c>
      <c r="AQ16" s="247">
        <f>SUM(M16:P16)</f>
        <v>-38.766519059609003</v>
      </c>
      <c r="AR16" s="247">
        <f>SUM(Q16:T16)</f>
        <v>-35.733901685609993</v>
      </c>
      <c r="AS16" s="247">
        <f>SUM(U16:X16)</f>
        <v>-40.033067417436996</v>
      </c>
      <c r="AT16" s="247">
        <f>SUM(Y16:AB16)</f>
        <v>-80.313816917747999</v>
      </c>
      <c r="AU16" s="247">
        <f>SUM(AC16:AF16)</f>
        <v>-63.928654322222549</v>
      </c>
      <c r="AV16" s="247">
        <f>SUM(AG16:AJ16)</f>
        <v>-1.0470258871844731</v>
      </c>
    </row>
    <row r="17" spans="2:48" x14ac:dyDescent="0.15">
      <c r="B17" s="6" t="s">
        <v>340</v>
      </c>
      <c r="C17" s="247"/>
      <c r="D17" s="247"/>
      <c r="E17" s="258"/>
      <c r="F17" s="247"/>
      <c r="G17" s="247"/>
      <c r="H17" s="247"/>
      <c r="I17" s="258">
        <v>-1.6895999999999995</v>
      </c>
      <c r="J17" s="247">
        <v>-1.1126719999999999</v>
      </c>
      <c r="K17" s="247">
        <v>-1.4013120000000003</v>
      </c>
      <c r="L17" s="247">
        <v>-1.4009599999999998</v>
      </c>
      <c r="M17" s="258">
        <v>-1.135904</v>
      </c>
      <c r="N17" s="247">
        <v>-0.77228799999999997</v>
      </c>
      <c r="O17" s="247">
        <v>-0.77228799999999997</v>
      </c>
      <c r="P17" s="247">
        <v>-0.77228799999999997</v>
      </c>
      <c r="Q17" s="258">
        <v>-0.69000000000000017</v>
      </c>
      <c r="R17" s="247">
        <v>-0.69938400000000001</v>
      </c>
      <c r="S17" s="247">
        <v>-0.69441600000000003</v>
      </c>
      <c r="T17" s="247">
        <v>-0.69469199999999998</v>
      </c>
      <c r="U17" s="258">
        <v>-0.89478400000000002</v>
      </c>
      <c r="V17" s="247">
        <v>-0.93147910088900054</v>
      </c>
      <c r="W17" s="247">
        <v>-0.76769576767700076</v>
      </c>
      <c r="X17" s="247">
        <v>-0.76769569401600068</v>
      </c>
      <c r="Y17" s="258">
        <v>-0.72446400000000089</v>
      </c>
      <c r="Z17" s="247">
        <v>-0.65597346014000013</v>
      </c>
      <c r="AA17" s="247">
        <v>-0.62122737441999998</v>
      </c>
      <c r="AB17" s="247">
        <v>-0.48424506144000007</v>
      </c>
      <c r="AC17" s="258">
        <v>-0.83592</v>
      </c>
      <c r="AD17" s="247">
        <v>-0.96065050999999979</v>
      </c>
      <c r="AE17" s="247">
        <v>-0.89728489729999983</v>
      </c>
      <c r="AF17" s="247">
        <v>-0.89928488269999995</v>
      </c>
      <c r="AG17" s="258">
        <v>-1.008</v>
      </c>
      <c r="AH17" s="247">
        <v>-0.77529929279999998</v>
      </c>
      <c r="AI17" s="247">
        <v>-0.65944893919999992</v>
      </c>
      <c r="AJ17" s="247">
        <v>-0.65844896799999986</v>
      </c>
      <c r="AK17" s="258">
        <v>-0.61229999999999996</v>
      </c>
      <c r="AL17" s="247">
        <v>-0.92345747000000022</v>
      </c>
      <c r="AN17" s="247">
        <v>-5.0350716000000002</v>
      </c>
      <c r="AO17" s="247">
        <v>-4.8756840000000006</v>
      </c>
      <c r="AP17" s="247">
        <f>SUM(I17:L17)</f>
        <v>-5.6045439999999989</v>
      </c>
      <c r="AQ17" s="247">
        <f>SUM(M17:P17)</f>
        <v>-3.4527680000000003</v>
      </c>
      <c r="AR17" s="247">
        <f>SUM(Q17:T17)</f>
        <v>-2.778492</v>
      </c>
      <c r="AS17" s="247">
        <f>SUM(U17:X17)</f>
        <v>-3.361654562582002</v>
      </c>
      <c r="AT17" s="247">
        <f>SUM(Y17:AB17)</f>
        <v>-2.4859098960000012</v>
      </c>
      <c r="AU17" s="247">
        <f>SUM(AC17:AF17)</f>
        <v>-3.5931402899999996</v>
      </c>
      <c r="AV17" s="247">
        <f>SUM(AG17:AJ17)</f>
        <v>-3.1011971999999997</v>
      </c>
    </row>
    <row r="18" spans="2:48" x14ac:dyDescent="0.15">
      <c r="B18" s="2" t="s">
        <v>310</v>
      </c>
      <c r="C18" s="249"/>
      <c r="D18" s="249"/>
      <c r="E18" s="259"/>
      <c r="F18" s="249"/>
      <c r="G18" s="249"/>
      <c r="H18" s="249"/>
      <c r="I18" s="259">
        <f t="shared" ref="I18:X18" si="12">+I17+I16+I14+I12</f>
        <v>49.377033859655853</v>
      </c>
      <c r="J18" s="249">
        <f t="shared" si="12"/>
        <v>60.022492937010554</v>
      </c>
      <c r="K18" s="249">
        <f t="shared" si="12"/>
        <v>63.775818161514763</v>
      </c>
      <c r="L18" s="249">
        <f t="shared" si="12"/>
        <v>87.156945101286084</v>
      </c>
      <c r="M18" s="259">
        <f t="shared" si="12"/>
        <v>150.45083980598739</v>
      </c>
      <c r="N18" s="249">
        <f t="shared" si="12"/>
        <v>140.54075927547581</v>
      </c>
      <c r="O18" s="249">
        <f t="shared" si="12"/>
        <v>161.39786237138929</v>
      </c>
      <c r="P18" s="249">
        <f t="shared" si="12"/>
        <v>174.72231898033073</v>
      </c>
      <c r="Q18" s="259">
        <f t="shared" si="12"/>
        <v>237.21504281916231</v>
      </c>
      <c r="R18" s="249">
        <f t="shared" si="12"/>
        <v>204.7178829784182</v>
      </c>
      <c r="S18" s="249">
        <f t="shared" si="12"/>
        <v>193.27121100530968</v>
      </c>
      <c r="T18" s="249">
        <f t="shared" si="12"/>
        <v>205.16699100062974</v>
      </c>
      <c r="U18" s="259">
        <f t="shared" si="12"/>
        <v>199.09083650767423</v>
      </c>
      <c r="V18" s="249">
        <f t="shared" si="12"/>
        <v>147.35998649178615</v>
      </c>
      <c r="W18" s="249">
        <f t="shared" si="12"/>
        <v>178.01726288026069</v>
      </c>
      <c r="X18" s="249">
        <f t="shared" si="12"/>
        <v>260.09687844376447</v>
      </c>
      <c r="Y18" s="259">
        <f>+Y17+Y16+Y14+Y12</f>
        <v>271.75304421140419</v>
      </c>
      <c r="Z18" s="249">
        <f>+Z17+Z16+Z14+Z12</f>
        <v>255.80495355672383</v>
      </c>
      <c r="AA18" s="249">
        <f>+AA17+AA16+AA14+AA12</f>
        <v>269.05537900964316</v>
      </c>
      <c r="AB18" s="249">
        <f>+AB17+AB16+AB14+AB12</f>
        <v>283.0109311710313</v>
      </c>
      <c r="AC18" s="259">
        <f>+AC17+AC16+AC14+AC12</f>
        <v>296.11221180096959</v>
      </c>
      <c r="AD18" s="249">
        <f t="shared" ref="AD18:AL18" si="13">+AD17+AD16+AD14+AD12</f>
        <v>268.11021908811591</v>
      </c>
      <c r="AE18" s="249">
        <f t="shared" si="13"/>
        <v>278.5909601386636</v>
      </c>
      <c r="AF18" s="249">
        <f t="shared" si="13"/>
        <v>265.68922172208181</v>
      </c>
      <c r="AG18" s="259">
        <f t="shared" si="13"/>
        <v>256.72617438648336</v>
      </c>
      <c r="AH18" s="249">
        <f t="shared" si="13"/>
        <v>227.24354485221144</v>
      </c>
      <c r="AI18" s="249">
        <f t="shared" si="13"/>
        <v>218.4229922519591</v>
      </c>
      <c r="AJ18" s="249">
        <f t="shared" si="13"/>
        <v>215.20321154867185</v>
      </c>
      <c r="AK18" s="259">
        <f t="shared" si="13"/>
        <v>238.97228728043928</v>
      </c>
      <c r="AL18" s="249">
        <f t="shared" si="13"/>
        <v>264.7562462826221</v>
      </c>
      <c r="AN18" s="249">
        <f t="shared" ref="AN18:AS18" si="14">+AN17+AN16+AN14+AN12</f>
        <v>112.51702102481897</v>
      </c>
      <c r="AO18" s="249">
        <f t="shared" si="14"/>
        <v>104.35355401472088</v>
      </c>
      <c r="AP18" s="249">
        <f t="shared" si="14"/>
        <v>260.33229005946725</v>
      </c>
      <c r="AQ18" s="249">
        <f t="shared" si="14"/>
        <v>627.11178043318307</v>
      </c>
      <c r="AR18" s="249">
        <f t="shared" si="14"/>
        <v>840.37112780352004</v>
      </c>
      <c r="AS18" s="249">
        <f t="shared" si="14"/>
        <v>784.5649643234857</v>
      </c>
      <c r="AT18" s="249">
        <f>+AT17+AT16+AT14+AT12</f>
        <v>1079.6243079488027</v>
      </c>
      <c r="AU18" s="249">
        <f>+AU17+AU16+AU14+AU12</f>
        <v>1108.5026127498309</v>
      </c>
      <c r="AV18" s="249">
        <f>+AV17+AV16+AV14+AV12</f>
        <v>917.59592303932629</v>
      </c>
    </row>
    <row r="19" spans="2:48"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c r="AV19" s="212"/>
    </row>
    <row r="20" spans="2:48"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57.828010019999994</v>
      </c>
      <c r="AG20" s="258"/>
      <c r="AH20" s="247"/>
      <c r="AI20" s="247"/>
      <c r="AJ20" s="247">
        <v>14.000001599999999</v>
      </c>
      <c r="AK20" s="258"/>
      <c r="AL20" s="247"/>
      <c r="AN20" s="247"/>
      <c r="AO20" s="247"/>
      <c r="AP20" s="247">
        <f>SUM(I20:L20)</f>
        <v>16.4435</v>
      </c>
      <c r="AQ20" s="247"/>
      <c r="AR20" s="247"/>
      <c r="AS20" s="247"/>
      <c r="AT20" s="247"/>
      <c r="AU20" s="247">
        <f>SUM(AC20:AF20)</f>
        <v>57.828010019999994</v>
      </c>
      <c r="AV20" s="247">
        <f>SUM(AG20:AJ20)</f>
        <v>14.000001599999999</v>
      </c>
    </row>
    <row r="21" spans="2:48"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-102.41547551290002</v>
      </c>
      <c r="W21" s="247">
        <v>-0.88554170999999993</v>
      </c>
      <c r="X21" s="247">
        <v>-0.31982494</v>
      </c>
      <c r="Y21" s="258"/>
      <c r="Z21" s="247"/>
      <c r="AA21" s="247"/>
      <c r="AB21" s="247"/>
      <c r="AC21" s="258"/>
      <c r="AD21" s="247"/>
      <c r="AE21" s="247"/>
      <c r="AF21" s="247">
        <v>-166.85980891914065</v>
      </c>
      <c r="AG21" s="258"/>
      <c r="AH21" s="247"/>
      <c r="AI21" s="247"/>
      <c r="AJ21" s="247">
        <v>-18.36943278</v>
      </c>
      <c r="AK21" s="258"/>
      <c r="AL21" s="247"/>
      <c r="AN21" s="247">
        <v>-11.25</v>
      </c>
      <c r="AO21" s="247"/>
      <c r="AP21" s="247">
        <f>SUM(I21:L21)</f>
        <v>-7.5</v>
      </c>
      <c r="AQ21" s="247">
        <f>SUM(M21:P21)</f>
        <v>-32.327500000000001</v>
      </c>
      <c r="AR21" s="247"/>
      <c r="AS21" s="247">
        <f>SUM(U21:X21)</f>
        <v>-104.09684216290002</v>
      </c>
      <c r="AT21" s="247"/>
      <c r="AU21" s="247">
        <f t="shared" ref="AU21:AU22" si="15">SUM(AC21:AF21)</f>
        <v>-166.85980891914065</v>
      </c>
      <c r="AV21" s="247">
        <f>SUM(AG21:AJ21)</f>
        <v>-18.36943278</v>
      </c>
    </row>
    <row r="22" spans="2:48"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55.652810170000002</v>
      </c>
      <c r="AG22" s="258"/>
      <c r="AH22" s="247"/>
      <c r="AI22" s="247"/>
      <c r="AJ22" s="247"/>
      <c r="AK22" s="258"/>
      <c r="AL22" s="247"/>
      <c r="AN22" s="247"/>
      <c r="AO22" s="247"/>
      <c r="AP22" s="247"/>
      <c r="AQ22" s="247"/>
      <c r="AR22" s="247"/>
      <c r="AS22" s="247"/>
      <c r="AT22" s="247"/>
      <c r="AU22" s="247">
        <f t="shared" si="15"/>
        <v>55.652810170000002</v>
      </c>
      <c r="AV22" s="247"/>
    </row>
    <row r="23" spans="2:48"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c r="AV23" s="212"/>
    </row>
    <row r="24" spans="2:48" x14ac:dyDescent="0.15">
      <c r="B24" s="2" t="s">
        <v>311</v>
      </c>
      <c r="C24" s="249"/>
      <c r="D24" s="249"/>
      <c r="E24" s="259"/>
      <c r="F24" s="249"/>
      <c r="G24" s="249"/>
      <c r="H24" s="249"/>
      <c r="I24" s="259">
        <f t="shared" ref="I24:X24" si="16">+I20+I18+I21</f>
        <v>65.820533859655853</v>
      </c>
      <c r="J24" s="249">
        <f t="shared" si="16"/>
        <v>60.022492937010554</v>
      </c>
      <c r="K24" s="249">
        <f t="shared" si="16"/>
        <v>63.775818161514763</v>
      </c>
      <c r="L24" s="249">
        <f t="shared" si="16"/>
        <v>79.656945101286084</v>
      </c>
      <c r="M24" s="259">
        <f t="shared" si="16"/>
        <v>150.45083980598739</v>
      </c>
      <c r="N24" s="249">
        <f t="shared" si="16"/>
        <v>137.79075927547581</v>
      </c>
      <c r="O24" s="249">
        <f t="shared" si="16"/>
        <v>156.66286237138928</v>
      </c>
      <c r="P24" s="249">
        <f t="shared" si="16"/>
        <v>149.87981898033073</v>
      </c>
      <c r="Q24" s="259">
        <f t="shared" si="16"/>
        <v>237.21504281916231</v>
      </c>
      <c r="R24" s="249">
        <f t="shared" si="16"/>
        <v>204.7178829784182</v>
      </c>
      <c r="S24" s="249">
        <f t="shared" si="16"/>
        <v>193.27121100530968</v>
      </c>
      <c r="T24" s="249">
        <f t="shared" si="16"/>
        <v>205.16699100062974</v>
      </c>
      <c r="U24" s="259">
        <f t="shared" si="16"/>
        <v>198.61483650767423</v>
      </c>
      <c r="V24" s="249">
        <f t="shared" si="16"/>
        <v>44.944510978886129</v>
      </c>
      <c r="W24" s="249">
        <f t="shared" si="16"/>
        <v>177.13172117026068</v>
      </c>
      <c r="X24" s="249">
        <f t="shared" si="16"/>
        <v>259.77705350376448</v>
      </c>
      <c r="Y24" s="259">
        <f>+Y20+Y18+Y21</f>
        <v>271.75304421140419</v>
      </c>
      <c r="Z24" s="249">
        <f>+Z20+Z18+Z21</f>
        <v>255.80495355672383</v>
      </c>
      <c r="AA24" s="249">
        <f>+AA20+AA18+AA21</f>
        <v>269.05537900964316</v>
      </c>
      <c r="AB24" s="249">
        <f>+AB20+AB18+AB21</f>
        <v>283.0109311710313</v>
      </c>
      <c r="AC24" s="259">
        <f>+AC20+AC18+AC21</f>
        <v>296.11221180096959</v>
      </c>
      <c r="AD24" s="249">
        <f t="shared" ref="AD24:AE24" si="17">+AD20+AD18+AD21</f>
        <v>268.11021908811591</v>
      </c>
      <c r="AE24" s="249">
        <f t="shared" si="17"/>
        <v>278.5909601386636</v>
      </c>
      <c r="AF24" s="249">
        <f>+AF20+AF18+AF21+AF22</f>
        <v>212.31023299294114</v>
      </c>
      <c r="AG24" s="259">
        <f>+AG20+AG18+AG21+AG22</f>
        <v>256.72617438648336</v>
      </c>
      <c r="AH24" s="249">
        <f>+AH20+AH18+AH21+AH22</f>
        <v>227.24354485221144</v>
      </c>
      <c r="AI24" s="249">
        <f>+AI20+AI18+AI21+AI22</f>
        <v>218.4229922519591</v>
      </c>
      <c r="AJ24" s="249">
        <f>+AJ20+AJ18+AJ21+AJ22</f>
        <v>210.83378036867182</v>
      </c>
      <c r="AK24" s="259">
        <f t="shared" ref="AK24" si="18">+AK20+AK18+AK21+AK22</f>
        <v>238.97228728043928</v>
      </c>
      <c r="AL24" s="249">
        <f>+AL20+AL18+AL21+AL22</f>
        <v>264.7562462826221</v>
      </c>
      <c r="AN24" s="249">
        <f t="shared" ref="AN24:AT24" si="19">+AN20+AN18+AN21</f>
        <v>101.26702102481897</v>
      </c>
      <c r="AO24" s="249">
        <f t="shared" si="19"/>
        <v>104.35355401472088</v>
      </c>
      <c r="AP24" s="249">
        <f t="shared" si="19"/>
        <v>269.27579005946723</v>
      </c>
      <c r="AQ24" s="249">
        <f t="shared" si="19"/>
        <v>594.78428043318308</v>
      </c>
      <c r="AR24" s="249">
        <f t="shared" si="19"/>
        <v>840.37112780352004</v>
      </c>
      <c r="AS24" s="249">
        <f t="shared" si="19"/>
        <v>680.46812216058572</v>
      </c>
      <c r="AT24" s="249">
        <f t="shared" si="19"/>
        <v>1079.6243079488027</v>
      </c>
      <c r="AU24" s="249">
        <f>+AU20+AU18+AU21+AU22</f>
        <v>1055.1236240206902</v>
      </c>
      <c r="AV24" s="249">
        <f>+AV20+AV18+AV21+AV22</f>
        <v>913.2264918593263</v>
      </c>
    </row>
    <row r="25" spans="2:48"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c r="AV25" s="212"/>
    </row>
    <row r="26" spans="2:48"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c r="AV26" s="212"/>
    </row>
    <row r="27" spans="2:48" ht="12" x14ac:dyDescent="0.15">
      <c r="B27" s="11" t="s">
        <v>356</v>
      </c>
      <c r="C27" s="247">
        <v>268800</v>
      </c>
      <c r="D27" s="247">
        <v>302700</v>
      </c>
      <c r="E27" s="258">
        <v>310100</v>
      </c>
      <c r="F27" s="247">
        <v>316500</v>
      </c>
      <c r="G27" s="247">
        <v>322400</v>
      </c>
      <c r="H27" s="247">
        <v>326000</v>
      </c>
      <c r="I27" s="258">
        <v>332300</v>
      </c>
      <c r="J27" s="247">
        <v>353300</v>
      </c>
      <c r="K27" s="247">
        <v>358800</v>
      </c>
      <c r="L27" s="247">
        <v>363700</v>
      </c>
      <c r="M27" s="258">
        <v>372600</v>
      </c>
      <c r="N27" s="247">
        <v>381200</v>
      </c>
      <c r="O27" s="247">
        <v>388400</v>
      </c>
      <c r="P27" s="247">
        <v>397800</v>
      </c>
      <c r="Q27" s="258">
        <v>415200</v>
      </c>
      <c r="R27" s="247">
        <v>430800</v>
      </c>
      <c r="S27" s="247">
        <v>440600</v>
      </c>
      <c r="T27" s="247">
        <v>451100</v>
      </c>
      <c r="U27" s="258">
        <v>435100</v>
      </c>
      <c r="V27" s="247">
        <v>436800</v>
      </c>
      <c r="W27" s="247">
        <v>443800</v>
      </c>
      <c r="X27" s="247">
        <v>449900</v>
      </c>
      <c r="Y27" s="258">
        <v>455200</v>
      </c>
      <c r="Z27" s="247">
        <v>461800</v>
      </c>
      <c r="AA27" s="247">
        <v>464600</v>
      </c>
      <c r="AB27" s="247">
        <v>470300</v>
      </c>
      <c r="AC27" s="258">
        <v>475700</v>
      </c>
      <c r="AD27" s="247">
        <v>481400</v>
      </c>
      <c r="AE27" s="247">
        <v>490800</v>
      </c>
      <c r="AF27" s="247">
        <v>475100</v>
      </c>
      <c r="AG27" s="258">
        <v>482100</v>
      </c>
      <c r="AH27" s="247">
        <v>488200</v>
      </c>
      <c r="AI27" s="247">
        <v>500900</v>
      </c>
      <c r="AJ27" s="247">
        <v>509900</v>
      </c>
      <c r="AK27" s="258">
        <v>518100</v>
      </c>
      <c r="AL27" s="247">
        <v>530800</v>
      </c>
      <c r="AM27" s="212"/>
      <c r="AN27" s="247">
        <v>302700</v>
      </c>
      <c r="AO27" s="247">
        <f>+H27</f>
        <v>326000</v>
      </c>
      <c r="AP27" s="247">
        <f>+L27</f>
        <v>363700</v>
      </c>
      <c r="AQ27" s="247">
        <f>+P27</f>
        <v>397800</v>
      </c>
      <c r="AR27" s="247">
        <f>+T27</f>
        <v>451100</v>
      </c>
      <c r="AS27" s="247">
        <f>+X27</f>
        <v>449900</v>
      </c>
      <c r="AT27" s="247">
        <f>+AB27</f>
        <v>470300</v>
      </c>
      <c r="AU27" s="247">
        <f>+AF27</f>
        <v>475100</v>
      </c>
      <c r="AV27" s="247">
        <f>+AJ27</f>
        <v>509900</v>
      </c>
    </row>
    <row r="28" spans="2:48" ht="12" x14ac:dyDescent="0.15">
      <c r="B28" s="11" t="s">
        <v>357</v>
      </c>
      <c r="C28" s="247"/>
      <c r="D28" s="247"/>
      <c r="E28" s="258"/>
      <c r="F28" s="247"/>
      <c r="G28" s="247"/>
      <c r="H28" s="247"/>
      <c r="I28" s="258">
        <f t="shared" ref="I28:AL28" si="20">+I27-H27</f>
        <v>6300</v>
      </c>
      <c r="J28" s="247">
        <f t="shared" si="20"/>
        <v>21000</v>
      </c>
      <c r="K28" s="247">
        <f t="shared" si="20"/>
        <v>5500</v>
      </c>
      <c r="L28" s="247">
        <f t="shared" si="20"/>
        <v>4900</v>
      </c>
      <c r="M28" s="258">
        <f t="shared" si="20"/>
        <v>8900</v>
      </c>
      <c r="N28" s="247">
        <f t="shared" si="20"/>
        <v>8600</v>
      </c>
      <c r="O28" s="247">
        <f t="shared" si="20"/>
        <v>7200</v>
      </c>
      <c r="P28" s="247">
        <f t="shared" si="20"/>
        <v>9400</v>
      </c>
      <c r="Q28" s="258">
        <f t="shared" si="20"/>
        <v>17400</v>
      </c>
      <c r="R28" s="247">
        <f t="shared" si="20"/>
        <v>15600</v>
      </c>
      <c r="S28" s="247">
        <f t="shared" si="20"/>
        <v>9800</v>
      </c>
      <c r="T28" s="247">
        <f t="shared" si="20"/>
        <v>10500</v>
      </c>
      <c r="U28" s="258">
        <f t="shared" si="20"/>
        <v>-16000</v>
      </c>
      <c r="V28" s="247">
        <f t="shared" si="20"/>
        <v>1700</v>
      </c>
      <c r="W28" s="247">
        <f t="shared" si="20"/>
        <v>7000</v>
      </c>
      <c r="X28" s="247">
        <f t="shared" si="20"/>
        <v>6100</v>
      </c>
      <c r="Y28" s="258">
        <f t="shared" si="20"/>
        <v>5300</v>
      </c>
      <c r="Z28" s="247">
        <f t="shared" si="20"/>
        <v>6600</v>
      </c>
      <c r="AA28" s="247">
        <f t="shared" si="20"/>
        <v>2800</v>
      </c>
      <c r="AB28" s="247">
        <f t="shared" si="20"/>
        <v>5700</v>
      </c>
      <c r="AC28" s="258">
        <f t="shared" si="20"/>
        <v>5400</v>
      </c>
      <c r="AD28" s="247">
        <f t="shared" si="20"/>
        <v>5700</v>
      </c>
      <c r="AE28" s="247">
        <f t="shared" si="20"/>
        <v>9400</v>
      </c>
      <c r="AF28" s="247">
        <f t="shared" si="20"/>
        <v>-15700</v>
      </c>
      <c r="AG28" s="258">
        <f t="shared" si="20"/>
        <v>7000</v>
      </c>
      <c r="AH28" s="247">
        <f t="shared" si="20"/>
        <v>6100</v>
      </c>
      <c r="AI28" s="247">
        <f t="shared" si="20"/>
        <v>12700</v>
      </c>
      <c r="AJ28" s="247">
        <f t="shared" si="20"/>
        <v>9000</v>
      </c>
      <c r="AK28" s="258">
        <f t="shared" si="20"/>
        <v>8200</v>
      </c>
      <c r="AL28" s="247">
        <f t="shared" si="20"/>
        <v>12700</v>
      </c>
      <c r="AM28" s="212"/>
      <c r="AN28" s="247">
        <f>+AN27-C27</f>
        <v>33900</v>
      </c>
      <c r="AO28" s="247">
        <f>+AO27-AN27</f>
        <v>23300</v>
      </c>
      <c r="AP28" s="247">
        <f>+AP27-AO27</f>
        <v>37700</v>
      </c>
      <c r="AQ28" s="247">
        <f>SUM(M28:P28)</f>
        <v>34100</v>
      </c>
      <c r="AR28" s="247">
        <f>SUM(Q28:T28)</f>
        <v>53300</v>
      </c>
      <c r="AS28" s="247">
        <f>SUM(U28:X28)</f>
        <v>-1200</v>
      </c>
      <c r="AT28" s="247">
        <f>SUM(Y28:AB28)</f>
        <v>20400</v>
      </c>
      <c r="AU28" s="247">
        <f>SUM(AC28:AF28)</f>
        <v>4800</v>
      </c>
      <c r="AV28" s="247">
        <f>SUM(AG28:AJ28)</f>
        <v>34800</v>
      </c>
    </row>
    <row r="29" spans="2:48" ht="12" x14ac:dyDescent="0.15">
      <c r="B29" s="11" t="s">
        <v>365</v>
      </c>
      <c r="C29" s="250"/>
      <c r="D29" s="250"/>
      <c r="E29" s="262"/>
      <c r="F29" s="250"/>
      <c r="G29" s="250"/>
      <c r="H29" s="250"/>
      <c r="I29" s="262">
        <f>+I27/E27-1</f>
        <v>7.1589809738793919E-2</v>
      </c>
      <c r="J29" s="250">
        <f t="shared" ref="J29:T29" si="21">+J27/F27-1</f>
        <v>0.11627172195892577</v>
      </c>
      <c r="K29" s="250">
        <f t="shared" si="21"/>
        <v>0.11290322580645151</v>
      </c>
      <c r="L29" s="250">
        <f t="shared" si="21"/>
        <v>0.11564417177914121</v>
      </c>
      <c r="M29" s="262">
        <f t="shared" si="21"/>
        <v>0.12127595546193204</v>
      </c>
      <c r="N29" s="250">
        <f t="shared" si="21"/>
        <v>7.8969714123974022E-2</v>
      </c>
      <c r="O29" s="250">
        <f t="shared" si="21"/>
        <v>8.2497212931995634E-2</v>
      </c>
      <c r="P29" s="250">
        <f t="shared" si="21"/>
        <v>9.3758592246356853E-2</v>
      </c>
      <c r="Q29" s="262">
        <f t="shared" si="21"/>
        <v>0.11433172302737526</v>
      </c>
      <c r="R29" s="250">
        <f t="shared" si="21"/>
        <v>0.13011542497376705</v>
      </c>
      <c r="S29" s="250">
        <f t="shared" si="21"/>
        <v>0.13439752832131813</v>
      </c>
      <c r="T29" s="250">
        <f t="shared" si="21"/>
        <v>0.13398692810457513</v>
      </c>
      <c r="U29" s="262">
        <v>0.11</v>
      </c>
      <c r="V29" s="250">
        <v>0.08</v>
      </c>
      <c r="W29" s="250">
        <v>7.0000000000000007E-2</v>
      </c>
      <c r="X29" s="250">
        <v>0.06</v>
      </c>
      <c r="Y29" s="262">
        <f>+Y27/U27-1</f>
        <v>4.6196276717995755E-2</v>
      </c>
      <c r="Z29" s="250">
        <f>+Z27/V27-1</f>
        <v>5.7234432234432253E-2</v>
      </c>
      <c r="AA29" s="250">
        <f>+AA27/W27-1</f>
        <v>4.6867958539882792E-2</v>
      </c>
      <c r="AB29" s="250">
        <f>+AB27/X27-1</f>
        <v>4.5343409646588118E-2</v>
      </c>
      <c r="AC29" s="262">
        <f>+AC27/Y27-1</f>
        <v>4.5035149384885731E-2</v>
      </c>
      <c r="AD29" s="250">
        <f t="shared" ref="AD29:AE29" si="22">+AD27/Z27-1</f>
        <v>4.2442615851017829E-2</v>
      </c>
      <c r="AE29" s="250">
        <f t="shared" si="22"/>
        <v>5.6392595781317167E-2</v>
      </c>
      <c r="AF29" s="250">
        <f>+(AF27+22800)/AB27-1</f>
        <v>5.8685945141399021E-2</v>
      </c>
      <c r="AG29" s="262">
        <f>+(AG27+22800)/AC27-1</f>
        <v>6.1383224721463181E-2</v>
      </c>
      <c r="AH29" s="296">
        <f>+(AH27+22800)/AD27-1</f>
        <v>6.1487328624844295E-2</v>
      </c>
      <c r="AI29" s="296">
        <f>+(AI27+22800)/AE27-1</f>
        <v>6.7033414832925908E-2</v>
      </c>
      <c r="AJ29" s="296">
        <f>+(AJ27)/AF27-1</f>
        <v>7.3247737318459238E-2</v>
      </c>
      <c r="AK29" s="262">
        <f>+(AK27)/AG27-1</f>
        <v>7.4673304293715104E-2</v>
      </c>
      <c r="AL29" s="296">
        <f>+(AL27)/AH27-1</f>
        <v>8.7259319950839798E-2</v>
      </c>
      <c r="AM29" s="212"/>
      <c r="AN29" s="250">
        <f>+AN27/C27-1</f>
        <v>0.1261160714285714</v>
      </c>
      <c r="AO29" s="250">
        <f>+AO27/AN27-1</f>
        <v>7.6973901552692459E-2</v>
      </c>
      <c r="AP29" s="250">
        <f>+AP27/AO27-1</f>
        <v>0.11564417177914121</v>
      </c>
      <c r="AQ29" s="250">
        <f>+AQ27/AP27-1</f>
        <v>9.3758592246356853E-2</v>
      </c>
      <c r="AR29" s="250">
        <f>+AR27/AQ27-1</f>
        <v>0.13398692810457513</v>
      </c>
      <c r="AS29" s="250">
        <v>5.6300000000000003E-2</v>
      </c>
      <c r="AT29" s="250">
        <f>+AT27/AS27-1</f>
        <v>4.5343409646588118E-2</v>
      </c>
      <c r="AU29" s="250">
        <f>+(AU27+22800)/AT27-1</f>
        <v>5.8685945141399021E-2</v>
      </c>
      <c r="AV29" s="250">
        <f>+AV27/AU27-1</f>
        <v>7.3247737318459238E-2</v>
      </c>
    </row>
    <row r="30" spans="2:48" x14ac:dyDescent="0.15">
      <c r="B30" s="11" t="s">
        <v>24</v>
      </c>
      <c r="C30" s="248"/>
      <c r="D30" s="248"/>
      <c r="E30" s="263">
        <v>7.3735816121781399</v>
      </c>
      <c r="F30" s="248">
        <v>1.6815666852728099</v>
      </c>
      <c r="G30" s="248">
        <v>1.5695319782000008</v>
      </c>
      <c r="H30" s="248">
        <v>-1.2130271340000001</v>
      </c>
      <c r="I30" s="263">
        <v>2.273618162</v>
      </c>
      <c r="J30" s="248">
        <v>1.8980914367499999</v>
      </c>
      <c r="K30" s="248">
        <v>1.705037422</v>
      </c>
      <c r="L30" s="248">
        <v>2.3226440515121061</v>
      </c>
      <c r="M30" s="263">
        <v>4.7465123250000003</v>
      </c>
      <c r="N30" s="248">
        <v>2.0960976570000001</v>
      </c>
      <c r="O30" s="248">
        <v>2.8074493650000001</v>
      </c>
      <c r="P30" s="248">
        <v>16.800000000000004</v>
      </c>
      <c r="Q30" s="263">
        <v>4.9000000000000021</v>
      </c>
      <c r="R30" s="248">
        <v>6.1999999999999993</v>
      </c>
      <c r="S30" s="248">
        <v>2.5</v>
      </c>
      <c r="T30" s="248">
        <v>4.7999999999999972</v>
      </c>
      <c r="U30" s="263">
        <v>4.6999999999999993</v>
      </c>
      <c r="V30" s="248">
        <v>1.7000000000000002</v>
      </c>
      <c r="W30" s="248">
        <v>1</v>
      </c>
      <c r="X30" s="248">
        <v>9.9999999999999978E-2</v>
      </c>
      <c r="Y30" s="263">
        <v>1</v>
      </c>
      <c r="Z30" s="248">
        <v>2.4000000000000004</v>
      </c>
      <c r="AA30" s="248">
        <v>4.1000000000000005</v>
      </c>
      <c r="AB30" s="248">
        <v>2.7000000000000011</v>
      </c>
      <c r="AC30" s="263">
        <v>0.89999999999999858</v>
      </c>
      <c r="AD30" s="248">
        <v>2.1999999999999993</v>
      </c>
      <c r="AE30" s="248">
        <v>2.5000000000000018</v>
      </c>
      <c r="AF30" s="248">
        <v>3.9999999999999982</v>
      </c>
      <c r="AG30" s="263">
        <v>9.1000000000000014</v>
      </c>
      <c r="AH30" s="248">
        <v>2.0999999999999996</v>
      </c>
      <c r="AI30" s="248">
        <v>3.5000000000000036</v>
      </c>
      <c r="AJ30" s="248">
        <v>1.7000000000000011</v>
      </c>
      <c r="AK30" s="263">
        <v>3.5000000000000036</v>
      </c>
      <c r="AL30" s="248">
        <v>5.3999999999999986</v>
      </c>
      <c r="AM30" s="212"/>
      <c r="AN30" s="248">
        <v>1.1930000000000001</v>
      </c>
      <c r="AO30" s="248">
        <v>9.4116531416509499</v>
      </c>
      <c r="AP30" s="248">
        <f>SUM(I30:L30)</f>
        <v>8.199391072262106</v>
      </c>
      <c r="AQ30" s="248">
        <f>SUM(M30:P30)</f>
        <v>26.450059347000007</v>
      </c>
      <c r="AR30" s="248">
        <f>SUM(Q30:T30)</f>
        <v>18.399999999999999</v>
      </c>
      <c r="AS30" s="248">
        <f>SUM(U30:X30)</f>
        <v>7.4999999999999991</v>
      </c>
      <c r="AT30" s="248">
        <f>SUM(Y30:AB30)</f>
        <v>10.200000000000003</v>
      </c>
      <c r="AU30" s="248">
        <f>SUM(AC30:AF30)</f>
        <v>9.5999999999999979</v>
      </c>
      <c r="AV30" s="248">
        <f>SUM(AG30:AJ30)</f>
        <v>16.400000000000006</v>
      </c>
    </row>
    <row r="31" spans="2:48" x14ac:dyDescent="0.15">
      <c r="B31" s="11" t="s">
        <v>177</v>
      </c>
      <c r="C31" s="250"/>
      <c r="D31" s="250"/>
      <c r="E31" s="262"/>
      <c r="F31" s="250"/>
      <c r="G31" s="250"/>
      <c r="H31" s="250"/>
      <c r="I31" s="262">
        <f t="shared" ref="I31:AC31" si="23">+SUM(F30:I30)*1000/E40</f>
        <v>3.3439504354527777E-2</v>
      </c>
      <c r="J31" s="250">
        <f t="shared" si="23"/>
        <v>3.2744337572854151E-2</v>
      </c>
      <c r="K31" s="250">
        <f t="shared" si="23"/>
        <v>3.196299010862861E-2</v>
      </c>
      <c r="L31" s="250">
        <f t="shared" si="23"/>
        <v>6.4288780557175046E-2</v>
      </c>
      <c r="M31" s="262">
        <f t="shared" si="23"/>
        <v>7.4930037458836654E-2</v>
      </c>
      <c r="N31" s="250">
        <f t="shared" si="23"/>
        <v>7.1294624880383725E-2</v>
      </c>
      <c r="O31" s="250">
        <f t="shared" si="23"/>
        <v>7.6210715458383871E-2</v>
      </c>
      <c r="P31" s="250">
        <f t="shared" si="23"/>
        <v>0.15461541677091253</v>
      </c>
      <c r="Q31" s="262">
        <f t="shared" si="23"/>
        <v>0.17487377257608627</v>
      </c>
      <c r="R31" s="250">
        <f t="shared" si="23"/>
        <v>0.1697857423697888</v>
      </c>
      <c r="S31" s="250">
        <f t="shared" si="23"/>
        <v>0.14597839135654264</v>
      </c>
      <c r="T31" s="250">
        <f t="shared" si="23"/>
        <v>7.4271413578751916E-2</v>
      </c>
      <c r="U31" s="262">
        <f t="shared" si="23"/>
        <v>6.6030548198672115E-2</v>
      </c>
      <c r="V31" s="250">
        <f t="shared" si="23"/>
        <v>4.5883850224395457E-2</v>
      </c>
      <c r="W31" s="250">
        <f t="shared" si="23"/>
        <v>3.9561579868992787E-2</v>
      </c>
      <c r="X31" s="250">
        <f t="shared" si="23"/>
        <v>2.1915726725498214E-2</v>
      </c>
      <c r="Y31" s="262">
        <f t="shared" si="23"/>
        <v>1.1978312949186738E-2</v>
      </c>
      <c r="Z31" s="250">
        <f t="shared" si="23"/>
        <v>1.6603328044865882E-2</v>
      </c>
      <c r="AA31" s="250">
        <f t="shared" si="23"/>
        <v>2.8469750889679721E-2</v>
      </c>
      <c r="AB31" s="250">
        <f>+SUM(Y30:AB30)*1000/X40</f>
        <v>3.7570444583594251E-2</v>
      </c>
      <c r="AC31" s="262">
        <f t="shared" si="23"/>
        <v>3.4604447185390762E-2</v>
      </c>
      <c r="AD31" s="250">
        <f t="shared" ref="AD31:AL31" si="24">+SUM(AA30:AD30)*1000/Z40</f>
        <v>3.305950711280304E-2</v>
      </c>
      <c r="AE31" s="250">
        <f t="shared" si="24"/>
        <v>2.8504704993474825E-2</v>
      </c>
      <c r="AF31" s="250">
        <f t="shared" si="24"/>
        <v>3.062884854672494E-2</v>
      </c>
      <c r="AG31" s="262">
        <f t="shared" si="24"/>
        <v>5.3159718074304148E-2</v>
      </c>
      <c r="AH31" s="296">
        <f t="shared" si="24"/>
        <v>5.0229865486122946E-2</v>
      </c>
      <c r="AI31" s="296">
        <f t="shared" si="24"/>
        <v>5.0851144830586836E-2</v>
      </c>
      <c r="AJ31" s="296">
        <f t="shared" si="24"/>
        <v>4.2963428691187279E-2</v>
      </c>
      <c r="AK31" s="262">
        <f t="shared" si="24"/>
        <v>2.939175398013337E-2</v>
      </c>
      <c r="AL31" s="296">
        <f t="shared" si="24"/>
        <v>3.6237471087124148E-2</v>
      </c>
      <c r="AM31" s="212"/>
      <c r="AN31" s="250">
        <f>+AN30*1000/C40</f>
        <v>1.0545390258994078E-2</v>
      </c>
      <c r="AO31" s="250">
        <f t="shared" ref="AO31:AV31" si="25">+AO30*1000/AN40</f>
        <v>7.6955463136966065E-2</v>
      </c>
      <c r="AP31" s="250">
        <f t="shared" si="25"/>
        <v>6.4288780557175046E-2</v>
      </c>
      <c r="AQ31" s="250">
        <f t="shared" si="25"/>
        <v>0.15461541677091253</v>
      </c>
      <c r="AR31" s="250">
        <f t="shared" si="25"/>
        <v>7.4271413578751916E-2</v>
      </c>
      <c r="AS31" s="250">
        <f t="shared" si="25"/>
        <v>2.1915726725498214E-2</v>
      </c>
      <c r="AT31" s="250">
        <f t="shared" si="25"/>
        <v>3.7570444583594251E-2</v>
      </c>
      <c r="AU31" s="250">
        <f t="shared" si="25"/>
        <v>3.062884854672494E-2</v>
      </c>
      <c r="AV31" s="250">
        <f t="shared" si="25"/>
        <v>4.2963428691187279E-2</v>
      </c>
    </row>
    <row r="32" spans="2:48" x14ac:dyDescent="0.15">
      <c r="B32" s="11" t="s">
        <v>313</v>
      </c>
      <c r="C32" s="247"/>
      <c r="D32" s="247"/>
      <c r="E32" s="258"/>
      <c r="F32" s="247"/>
      <c r="G32" s="247"/>
      <c r="H32" s="247">
        <f t="shared" ref="H32:AL32" si="26">+ROUND(AVERAGE(D40:H40)*1000000/AVERAGE(D27:H27),-2)</f>
        <v>420200</v>
      </c>
      <c r="I32" s="258">
        <f t="shared" si="26"/>
        <v>425000</v>
      </c>
      <c r="J32" s="247">
        <f t="shared" si="26"/>
        <v>428100</v>
      </c>
      <c r="K32" s="247">
        <f t="shared" si="26"/>
        <v>428600</v>
      </c>
      <c r="L32" s="247">
        <f t="shared" si="26"/>
        <v>432900</v>
      </c>
      <c r="M32" s="258">
        <f t="shared" si="26"/>
        <v>435300</v>
      </c>
      <c r="N32" s="247">
        <f t="shared" si="26"/>
        <v>444700</v>
      </c>
      <c r="O32" s="247">
        <f t="shared" si="26"/>
        <v>466200</v>
      </c>
      <c r="P32" s="247">
        <f t="shared" si="26"/>
        <v>504300</v>
      </c>
      <c r="Q32" s="258">
        <f t="shared" si="26"/>
        <v>544500</v>
      </c>
      <c r="R32" s="247">
        <f t="shared" si="26"/>
        <v>601500</v>
      </c>
      <c r="S32" s="247">
        <f t="shared" si="26"/>
        <v>645800</v>
      </c>
      <c r="T32" s="247">
        <f t="shared" si="26"/>
        <v>689600</v>
      </c>
      <c r="U32" s="258">
        <f t="shared" si="26"/>
        <v>709700</v>
      </c>
      <c r="V32" s="247">
        <f t="shared" si="26"/>
        <v>700600</v>
      </c>
      <c r="W32" s="247">
        <f t="shared" si="26"/>
        <v>682200</v>
      </c>
      <c r="X32" s="247">
        <f t="shared" si="26"/>
        <v>662700</v>
      </c>
      <c r="Y32" s="258">
        <f t="shared" si="26"/>
        <v>638800</v>
      </c>
      <c r="Z32" s="247">
        <f t="shared" si="26"/>
        <v>623300</v>
      </c>
      <c r="AA32" s="247">
        <f t="shared" si="26"/>
        <v>624500</v>
      </c>
      <c r="AB32" s="247">
        <f>+ROUND(AVERAGE(X40:AB40)*1000000/AVERAGE(X27:AB27),-2)</f>
        <v>637500</v>
      </c>
      <c r="AC32" s="258">
        <f t="shared" si="26"/>
        <v>657700</v>
      </c>
      <c r="AD32" s="247">
        <f t="shared" si="26"/>
        <v>676100</v>
      </c>
      <c r="AE32" s="247">
        <f t="shared" si="26"/>
        <v>696500</v>
      </c>
      <c r="AF32" s="247">
        <f t="shared" si="26"/>
        <v>731300</v>
      </c>
      <c r="AG32" s="258">
        <f t="shared" si="26"/>
        <v>750100</v>
      </c>
      <c r="AH32" s="247">
        <f t="shared" si="26"/>
        <v>768700</v>
      </c>
      <c r="AI32" s="247">
        <f t="shared" si="26"/>
        <v>789100</v>
      </c>
      <c r="AJ32" s="247">
        <f t="shared" si="26"/>
        <v>806500</v>
      </c>
      <c r="AK32" s="258">
        <f t="shared" si="26"/>
        <v>809400</v>
      </c>
      <c r="AL32" s="247">
        <f t="shared" si="26"/>
        <v>836800</v>
      </c>
      <c r="AN32" s="247">
        <f>+ROUND(AVERAGE(AN40,C40)*1000000/AVERAGE(AN27,C27),-2)</f>
        <v>412000</v>
      </c>
      <c r="AO32" s="247">
        <f>+H32</f>
        <v>420200</v>
      </c>
      <c r="AP32" s="247">
        <f>+L32</f>
        <v>432900</v>
      </c>
      <c r="AQ32" s="247">
        <f>+P32</f>
        <v>504300</v>
      </c>
      <c r="AR32" s="247">
        <f>+T32</f>
        <v>689600</v>
      </c>
      <c r="AS32" s="247">
        <f>+X32</f>
        <v>662700</v>
      </c>
      <c r="AT32" s="247">
        <f>+AB32</f>
        <v>637500</v>
      </c>
      <c r="AU32" s="247">
        <f>+AF32</f>
        <v>731300</v>
      </c>
      <c r="AV32" s="247">
        <f>+AJ32</f>
        <v>806500</v>
      </c>
    </row>
    <row r="33" spans="2:48" x14ac:dyDescent="0.15">
      <c r="B33" s="7" t="s">
        <v>25</v>
      </c>
      <c r="C33" s="247"/>
      <c r="D33" s="247"/>
      <c r="E33" s="258"/>
      <c r="F33" s="247"/>
      <c r="G33" s="247"/>
      <c r="H33" s="247"/>
      <c r="I33" s="258">
        <f t="shared" ref="I33:AL33" si="27">+I12*1000000/AVERAGE(H27:I27)*4</f>
        <v>2159.6612092430405</v>
      </c>
      <c r="J33" s="247">
        <f t="shared" si="27"/>
        <v>2218.8969956972414</v>
      </c>
      <c r="K33" s="247">
        <f t="shared" si="27"/>
        <v>2165.1799427447118</v>
      </c>
      <c r="L33" s="247">
        <f t="shared" si="27"/>
        <v>2414.946031618138</v>
      </c>
      <c r="M33" s="258">
        <f t="shared" si="27"/>
        <v>3016.3712016599184</v>
      </c>
      <c r="N33" s="247">
        <f t="shared" si="27"/>
        <v>2763.7211514902078</v>
      </c>
      <c r="O33" s="247">
        <f t="shared" si="27"/>
        <v>2834.325165601791</v>
      </c>
      <c r="P33" s="247">
        <f t="shared" si="27"/>
        <v>3047.6852279526197</v>
      </c>
      <c r="Q33" s="258">
        <f t="shared" si="27"/>
        <v>3434.7885897049159</v>
      </c>
      <c r="R33" s="247">
        <f t="shared" si="27"/>
        <v>3101.915279219787</v>
      </c>
      <c r="S33" s="247">
        <f t="shared" si="27"/>
        <v>2866.7212308458529</v>
      </c>
      <c r="T33" s="247">
        <f t="shared" si="27"/>
        <v>3029.0623283081973</v>
      </c>
      <c r="U33" s="258">
        <f t="shared" si="27"/>
        <v>2935.8340977094399</v>
      </c>
      <c r="V33" s="247">
        <f t="shared" si="27"/>
        <v>2484.7446316627061</v>
      </c>
      <c r="W33" s="247">
        <f t="shared" si="27"/>
        <v>2791.8480949854184</v>
      </c>
      <c r="X33" s="247">
        <f t="shared" si="27"/>
        <v>3393.5212235703034</v>
      </c>
      <c r="Y33" s="258">
        <f t="shared" si="27"/>
        <v>3620.0867803196147</v>
      </c>
      <c r="Z33" s="247">
        <f t="shared" si="27"/>
        <v>3387.7682333241237</v>
      </c>
      <c r="AA33" s="247">
        <f t="shared" si="27"/>
        <v>3472.7479577024737</v>
      </c>
      <c r="AB33" s="247">
        <f>+AB12*1000000/AVERAGE(AA27:AB27)*4</f>
        <v>3569.964371003749</v>
      </c>
      <c r="AC33" s="258">
        <f t="shared" si="27"/>
        <v>3729.9142528731359</v>
      </c>
      <c r="AD33" s="247">
        <f t="shared" si="27"/>
        <v>3571.8304172394642</v>
      </c>
      <c r="AE33" s="247">
        <f t="shared" si="27"/>
        <v>3386.85445631108</v>
      </c>
      <c r="AF33" s="247">
        <f t="shared" si="27"/>
        <v>3306.1130263495897</v>
      </c>
      <c r="AG33" s="258">
        <f t="shared" si="27"/>
        <v>3266.6083715295163</v>
      </c>
      <c r="AH33" s="247">
        <f t="shared" si="27"/>
        <v>2963.149533895577</v>
      </c>
      <c r="AI33" s="247">
        <f t="shared" si="27"/>
        <v>2869.2851599289424</v>
      </c>
      <c r="AJ33" s="247">
        <f t="shared" si="27"/>
        <v>2856.9432308006517</v>
      </c>
      <c r="AK33" s="258">
        <f t="shared" si="27"/>
        <v>2957.601183513465</v>
      </c>
      <c r="AL33" s="247">
        <f t="shared" si="27"/>
        <v>3094.8139082564271</v>
      </c>
      <c r="AN33" s="247">
        <f>+AN12*1000000/AVERAGE(AN27,C27)</f>
        <v>2278.1742194371932</v>
      </c>
      <c r="AO33" s="247">
        <f t="shared" ref="AO33:AV33" si="28">+AO12*1000000/AVERAGE(AN27:AO27)</f>
        <v>2150.6850019893855</v>
      </c>
      <c r="AP33" s="247">
        <f t="shared" si="28"/>
        <v>2258.0846380191879</v>
      </c>
      <c r="AQ33" s="247">
        <f t="shared" si="28"/>
        <v>2915.8351587127395</v>
      </c>
      <c r="AR33" s="247">
        <f t="shared" si="28"/>
        <v>3126.3338462603174</v>
      </c>
      <c r="AS33" s="247">
        <f t="shared" si="28"/>
        <v>2846.6915570715205</v>
      </c>
      <c r="AT33" s="247">
        <f t="shared" si="28"/>
        <v>3514.9525682711592</v>
      </c>
      <c r="AU33" s="247">
        <f t="shared" si="28"/>
        <v>3552.2456764688432</v>
      </c>
      <c r="AV33" s="247">
        <f t="shared" si="28"/>
        <v>2976.5862170928808</v>
      </c>
    </row>
    <row r="34" spans="2:48" x14ac:dyDescent="0.15">
      <c r="B34" s="11" t="s">
        <v>307</v>
      </c>
      <c r="C34" s="252"/>
      <c r="D34" s="252"/>
      <c r="E34" s="268"/>
      <c r="F34" s="252"/>
      <c r="G34" s="252"/>
      <c r="H34" s="252">
        <f t="shared" ref="H34:AC34" si="29">SUM(E12:H12)/AVERAGE(D40:H40)</f>
        <v>5.0620155996150915E-3</v>
      </c>
      <c r="I34" s="268">
        <f t="shared" si="29"/>
        <v>4.95761591863209E-3</v>
      </c>
      <c r="J34" s="252">
        <f t="shared" si="29"/>
        <v>4.9686813912096497E-3</v>
      </c>
      <c r="K34" s="252">
        <f t="shared" si="29"/>
        <v>5.0393869110982141E-3</v>
      </c>
      <c r="L34" s="252">
        <f t="shared" si="29"/>
        <v>5.1871177270547747E-3</v>
      </c>
      <c r="M34" s="268">
        <f t="shared" si="29"/>
        <v>5.666967428651349E-3</v>
      </c>
      <c r="N34" s="252">
        <f t="shared" si="29"/>
        <v>5.8310213678577257E-3</v>
      </c>
      <c r="O34" s="252">
        <f t="shared" si="29"/>
        <v>5.9166146259149593E-3</v>
      </c>
      <c r="P34" s="252">
        <f t="shared" si="29"/>
        <v>5.7820125862188196E-3</v>
      </c>
      <c r="Q34" s="268">
        <f t="shared" si="29"/>
        <v>5.5496630814845949E-3</v>
      </c>
      <c r="R34" s="252">
        <f t="shared" si="29"/>
        <v>5.1577183538148007E-3</v>
      </c>
      <c r="S34" s="252">
        <f t="shared" si="29"/>
        <v>4.8142688784128806E-3</v>
      </c>
      <c r="T34" s="252">
        <f t="shared" si="29"/>
        <v>4.5056955656690486E-3</v>
      </c>
      <c r="U34" s="268">
        <f t="shared" si="29"/>
        <v>4.2253138121013997E-3</v>
      </c>
      <c r="V34" s="252">
        <f t="shared" si="29"/>
        <v>4.0518637925006972E-3</v>
      </c>
      <c r="W34" s="252">
        <f t="shared" si="29"/>
        <v>4.1205544704601971E-3</v>
      </c>
      <c r="X34" s="252">
        <f t="shared" si="29"/>
        <v>4.365199657099794E-3</v>
      </c>
      <c r="Y34" s="268">
        <f t="shared" si="29"/>
        <v>4.8174410057781969E-3</v>
      </c>
      <c r="Z34" s="252">
        <f t="shared" si="29"/>
        <v>5.298050830228461E-3</v>
      </c>
      <c r="AA34" s="252">
        <f t="shared" si="29"/>
        <v>5.5566116156206486E-3</v>
      </c>
      <c r="AB34" s="252">
        <f>SUM(Y12:AB12)/AVERAGE(X40:AB40)</f>
        <v>5.5104150680494474E-3</v>
      </c>
      <c r="AC34" s="268">
        <f t="shared" si="29"/>
        <v>5.385243042616829E-3</v>
      </c>
      <c r="AD34" s="252">
        <f t="shared" ref="AD34:AL34" si="30">SUM(AA12:AD12)/AVERAGE(Z40:AD40)</f>
        <v>5.3030132683329458E-3</v>
      </c>
      <c r="AE34" s="252">
        <f t="shared" si="30"/>
        <v>5.1132813652161836E-3</v>
      </c>
      <c r="AF34" s="252">
        <f t="shared" si="30"/>
        <v>4.7972599758495807E-3</v>
      </c>
      <c r="AG34" s="268">
        <f t="shared" si="30"/>
        <v>4.5144581114389777E-3</v>
      </c>
      <c r="AH34" s="299">
        <f t="shared" si="30"/>
        <v>4.1998773133409941E-3</v>
      </c>
      <c r="AI34" s="299">
        <f t="shared" si="30"/>
        <v>3.9105806890221105E-3</v>
      </c>
      <c r="AJ34" s="299">
        <f t="shared" si="30"/>
        <v>3.7001471809583316E-3</v>
      </c>
      <c r="AK34" s="268">
        <f t="shared" si="30"/>
        <v>3.5970109315195081E-3</v>
      </c>
      <c r="AL34" s="299">
        <f t="shared" si="30"/>
        <v>3.521500212948888E-3</v>
      </c>
      <c r="AN34" s="252">
        <f>+AN12/AVERAGE(AN40,C40)</f>
        <v>5.5302067128588364E-3</v>
      </c>
      <c r="AO34" s="252">
        <f>+H34</f>
        <v>5.0620155996150915E-3</v>
      </c>
      <c r="AP34" s="252">
        <f>+L34</f>
        <v>5.1871177270547747E-3</v>
      </c>
      <c r="AQ34" s="252">
        <f>+P34</f>
        <v>5.7820125862188196E-3</v>
      </c>
      <c r="AR34" s="252">
        <f>+T34</f>
        <v>4.5056955656690486E-3</v>
      </c>
      <c r="AS34" s="252">
        <f>+X34</f>
        <v>4.365199657099794E-3</v>
      </c>
      <c r="AT34" s="252">
        <f>+AB34</f>
        <v>5.5104150680494474E-3</v>
      </c>
      <c r="AU34" s="252">
        <f>+AF34</f>
        <v>4.7972599758495807E-3</v>
      </c>
      <c r="AV34" s="252">
        <f>+AJ34</f>
        <v>3.7001471809583316E-3</v>
      </c>
    </row>
    <row r="35" spans="2:48"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L35" s="215"/>
      <c r="AN35" s="215"/>
      <c r="AO35" s="215"/>
      <c r="AP35" s="215"/>
      <c r="AQ35" s="215"/>
      <c r="AR35" s="215"/>
      <c r="AS35" s="215"/>
      <c r="AT35" s="215"/>
      <c r="AU35" s="215"/>
      <c r="AV35" s="215"/>
    </row>
    <row r="36" spans="2:48"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L36" s="215"/>
      <c r="AN36" s="215"/>
      <c r="AO36" s="215"/>
      <c r="AP36" s="215"/>
      <c r="AQ36" s="215"/>
      <c r="AR36" s="215"/>
      <c r="AS36" s="215"/>
      <c r="AT36" s="215"/>
      <c r="AU36" s="215"/>
      <c r="AV36" s="215"/>
    </row>
    <row r="37" spans="2:48" x14ac:dyDescent="0.15">
      <c r="B37" s="6" t="s">
        <v>29</v>
      </c>
      <c r="C37" s="247"/>
      <c r="D37" s="247">
        <v>67610</v>
      </c>
      <c r="E37" s="258"/>
      <c r="F37" s="247"/>
      <c r="G37" s="247"/>
      <c r="H37" s="247">
        <v>71130</v>
      </c>
      <c r="I37" s="258">
        <v>82620</v>
      </c>
      <c r="J37" s="247">
        <v>89430</v>
      </c>
      <c r="K37" s="247">
        <v>92080</v>
      </c>
      <c r="L37" s="247">
        <v>103990</v>
      </c>
      <c r="M37" s="258">
        <v>86050</v>
      </c>
      <c r="N37" s="247">
        <v>110320</v>
      </c>
      <c r="O37" s="247">
        <v>133170</v>
      </c>
      <c r="P37" s="247">
        <v>166360</v>
      </c>
      <c r="Q37" s="258">
        <v>186800</v>
      </c>
      <c r="R37" s="247">
        <v>203720</v>
      </c>
      <c r="S37" s="247">
        <v>209130</v>
      </c>
      <c r="T37" s="247">
        <v>236810</v>
      </c>
      <c r="U37" s="258">
        <v>214970</v>
      </c>
      <c r="V37" s="247">
        <v>173690</v>
      </c>
      <c r="W37" s="247">
        <v>170160</v>
      </c>
      <c r="X37" s="247">
        <v>172780</v>
      </c>
      <c r="Y37" s="258">
        <v>191080</v>
      </c>
      <c r="Z37" s="247">
        <v>193070</v>
      </c>
      <c r="AA37" s="247">
        <v>184960</v>
      </c>
      <c r="AB37" s="247">
        <v>201670</v>
      </c>
      <c r="AC37" s="258">
        <v>211500</v>
      </c>
      <c r="AD37" s="247">
        <v>222750</v>
      </c>
      <c r="AE37" s="247">
        <v>233090</v>
      </c>
      <c r="AF37" s="247">
        <v>243900</v>
      </c>
      <c r="AG37" s="258">
        <v>232520</v>
      </c>
      <c r="AH37" s="247">
        <v>247430</v>
      </c>
      <c r="AI37" s="247">
        <v>270620</v>
      </c>
      <c r="AJ37" s="247">
        <v>276250</v>
      </c>
      <c r="AK37" s="258">
        <v>272160</v>
      </c>
      <c r="AL37" s="247">
        <v>308690</v>
      </c>
      <c r="AN37" s="247">
        <v>67610</v>
      </c>
      <c r="AO37" s="247">
        <v>71130</v>
      </c>
      <c r="AP37" s="247">
        <f>+L37</f>
        <v>103990</v>
      </c>
      <c r="AQ37" s="247">
        <f>+P37</f>
        <v>166360</v>
      </c>
      <c r="AR37" s="247">
        <f>+T37</f>
        <v>236810</v>
      </c>
      <c r="AS37" s="247">
        <f>+X37</f>
        <v>172780</v>
      </c>
      <c r="AT37" s="247">
        <f>+AB37</f>
        <v>201670</v>
      </c>
      <c r="AU37" s="247">
        <f>+AF37</f>
        <v>243900</v>
      </c>
      <c r="AV37" s="247">
        <f>+AJ37</f>
        <v>276250</v>
      </c>
    </row>
    <row r="38" spans="2:48" x14ac:dyDescent="0.15">
      <c r="B38" s="7" t="s">
        <v>30</v>
      </c>
      <c r="C38" s="247"/>
      <c r="D38" s="247">
        <v>38100</v>
      </c>
      <c r="E38" s="258"/>
      <c r="F38" s="247"/>
      <c r="G38" s="247"/>
      <c r="H38" s="247">
        <v>35600</v>
      </c>
      <c r="I38" s="258">
        <v>39990</v>
      </c>
      <c r="J38" s="247">
        <v>42430</v>
      </c>
      <c r="K38" s="247">
        <v>44840</v>
      </c>
      <c r="L38" s="247">
        <v>47610</v>
      </c>
      <c r="M38" s="258">
        <v>37860</v>
      </c>
      <c r="N38" s="247">
        <v>44930</v>
      </c>
      <c r="O38" s="247">
        <v>50550</v>
      </c>
      <c r="P38" s="247">
        <v>55220</v>
      </c>
      <c r="Q38" s="258">
        <v>62050</v>
      </c>
      <c r="R38" s="247">
        <v>67210</v>
      </c>
      <c r="S38" s="247">
        <v>69590</v>
      </c>
      <c r="T38" s="247">
        <v>76420</v>
      </c>
      <c r="U38" s="258">
        <v>69300</v>
      </c>
      <c r="V38" s="247">
        <v>62570</v>
      </c>
      <c r="W38" s="247">
        <v>62260</v>
      </c>
      <c r="X38" s="247">
        <v>67300</v>
      </c>
      <c r="Y38" s="258">
        <v>72610</v>
      </c>
      <c r="Z38" s="247">
        <v>78340</v>
      </c>
      <c r="AA38" s="247">
        <v>77350</v>
      </c>
      <c r="AB38" s="247">
        <v>84040</v>
      </c>
      <c r="AC38" s="258">
        <v>95390</v>
      </c>
      <c r="AD38" s="247">
        <v>101580</v>
      </c>
      <c r="AE38" s="247">
        <v>106140</v>
      </c>
      <c r="AF38" s="247">
        <v>110360</v>
      </c>
      <c r="AG38" s="258">
        <v>104500</v>
      </c>
      <c r="AH38" s="247">
        <v>109280</v>
      </c>
      <c r="AI38" s="247">
        <v>116020</v>
      </c>
      <c r="AJ38" s="247">
        <v>119500</v>
      </c>
      <c r="AK38" s="258">
        <v>117680</v>
      </c>
      <c r="AL38" s="247">
        <v>134760</v>
      </c>
      <c r="AN38" s="247">
        <v>38100</v>
      </c>
      <c r="AO38" s="247">
        <v>35600</v>
      </c>
      <c r="AP38" s="247">
        <f>+L38</f>
        <v>47610</v>
      </c>
      <c r="AQ38" s="247">
        <f>+P38</f>
        <v>55220</v>
      </c>
      <c r="AR38" s="247">
        <f>+T38</f>
        <v>76420</v>
      </c>
      <c r="AS38" s="247">
        <f>+X38</f>
        <v>67300</v>
      </c>
      <c r="AT38" s="247">
        <f>+AB38</f>
        <v>84040</v>
      </c>
      <c r="AU38" s="247">
        <f>+AF38</f>
        <v>110360</v>
      </c>
      <c r="AV38" s="247">
        <f>+AJ38</f>
        <v>119500</v>
      </c>
    </row>
    <row r="39" spans="2:48" x14ac:dyDescent="0.15">
      <c r="B39" s="11" t="s">
        <v>31</v>
      </c>
      <c r="C39" s="247"/>
      <c r="D39" s="247">
        <v>16590</v>
      </c>
      <c r="E39" s="258"/>
      <c r="F39" s="247"/>
      <c r="G39" s="247"/>
      <c r="H39" s="247">
        <v>20810</v>
      </c>
      <c r="I39" s="258">
        <v>19820</v>
      </c>
      <c r="J39" s="247">
        <v>20610</v>
      </c>
      <c r="K39" s="247">
        <v>20180</v>
      </c>
      <c r="L39" s="247">
        <v>19470</v>
      </c>
      <c r="M39" s="258">
        <v>28220</v>
      </c>
      <c r="N39" s="247">
        <v>25610</v>
      </c>
      <c r="O39" s="247">
        <v>24530</v>
      </c>
      <c r="P39" s="247">
        <v>26160</v>
      </c>
      <c r="Q39" s="258">
        <v>26780</v>
      </c>
      <c r="R39" s="247">
        <v>27650</v>
      </c>
      <c r="S39" s="247">
        <v>29660</v>
      </c>
      <c r="T39" s="247">
        <v>28990</v>
      </c>
      <c r="U39" s="258">
        <v>32970</v>
      </c>
      <c r="V39" s="247">
        <v>34770</v>
      </c>
      <c r="W39" s="247">
        <v>34530</v>
      </c>
      <c r="X39" s="247">
        <v>31410</v>
      </c>
      <c r="Y39" s="258">
        <v>28180</v>
      </c>
      <c r="Z39" s="247">
        <v>28050</v>
      </c>
      <c r="AA39" s="247">
        <v>28870</v>
      </c>
      <c r="AB39" s="247">
        <v>27720</v>
      </c>
      <c r="AC39" s="258">
        <v>27950</v>
      </c>
      <c r="AD39" s="247">
        <v>28050</v>
      </c>
      <c r="AE39" s="247">
        <v>28510</v>
      </c>
      <c r="AF39" s="247">
        <v>27460</v>
      </c>
      <c r="AG39" s="258">
        <v>30430</v>
      </c>
      <c r="AH39" s="247">
        <v>32390</v>
      </c>
      <c r="AI39" s="247">
        <v>30550</v>
      </c>
      <c r="AJ39" s="247">
        <v>29750</v>
      </c>
      <c r="AK39" s="258">
        <v>33670</v>
      </c>
      <c r="AL39" s="247">
        <v>33220</v>
      </c>
      <c r="AN39" s="247">
        <v>16590</v>
      </c>
      <c r="AO39" s="247">
        <v>20810</v>
      </c>
      <c r="AP39" s="247">
        <f>+L39</f>
        <v>19470</v>
      </c>
      <c r="AQ39" s="247">
        <f>+P39</f>
        <v>26160</v>
      </c>
      <c r="AR39" s="247">
        <f>+T39</f>
        <v>28990</v>
      </c>
      <c r="AS39" s="247">
        <f>+X39</f>
        <v>31410</v>
      </c>
      <c r="AT39" s="247">
        <f>+AB39</f>
        <v>27720</v>
      </c>
      <c r="AU39" s="247">
        <f>+AF39</f>
        <v>27460</v>
      </c>
      <c r="AV39" s="247">
        <f>+AJ39</f>
        <v>29750</v>
      </c>
    </row>
    <row r="40" spans="2:48" s="12" customFormat="1" x14ac:dyDescent="0.15">
      <c r="B40" s="12" t="s">
        <v>32</v>
      </c>
      <c r="C40" s="249">
        <v>113130</v>
      </c>
      <c r="D40" s="249">
        <v>122290</v>
      </c>
      <c r="E40" s="259">
        <v>128940</v>
      </c>
      <c r="F40" s="249">
        <v>138290</v>
      </c>
      <c r="G40" s="249">
        <v>145910</v>
      </c>
      <c r="H40" s="249">
        <v>127540</v>
      </c>
      <c r="I40" s="259">
        <f>SUM(I37:I39)</f>
        <v>142430</v>
      </c>
      <c r="J40" s="249">
        <f t="shared" ref="J40:W40" si="31">SUM(J37:J39)</f>
        <v>152470</v>
      </c>
      <c r="K40" s="249">
        <f t="shared" si="31"/>
        <v>157100</v>
      </c>
      <c r="L40" s="249">
        <f t="shared" si="31"/>
        <v>171070</v>
      </c>
      <c r="M40" s="259">
        <f t="shared" si="31"/>
        <v>152130</v>
      </c>
      <c r="N40" s="249">
        <f t="shared" si="31"/>
        <v>180860</v>
      </c>
      <c r="O40" s="249">
        <f t="shared" si="31"/>
        <v>208250</v>
      </c>
      <c r="P40" s="249">
        <f t="shared" si="31"/>
        <v>247740</v>
      </c>
      <c r="Q40" s="259">
        <f t="shared" si="31"/>
        <v>275630</v>
      </c>
      <c r="R40" s="249">
        <f t="shared" si="31"/>
        <v>298580</v>
      </c>
      <c r="S40" s="249">
        <f t="shared" si="31"/>
        <v>308380</v>
      </c>
      <c r="T40" s="249">
        <f t="shared" si="31"/>
        <v>342220</v>
      </c>
      <c r="U40" s="259">
        <f t="shared" si="31"/>
        <v>317240</v>
      </c>
      <c r="V40" s="249">
        <f t="shared" si="31"/>
        <v>271030</v>
      </c>
      <c r="W40" s="249">
        <f t="shared" si="31"/>
        <v>266950</v>
      </c>
      <c r="X40" s="249">
        <f t="shared" ref="X40:AL40" si="32">SUM(X37:X39)</f>
        <v>271490</v>
      </c>
      <c r="Y40" s="259">
        <f t="shared" si="32"/>
        <v>291870</v>
      </c>
      <c r="Z40" s="249">
        <f t="shared" si="32"/>
        <v>299460</v>
      </c>
      <c r="AA40" s="249">
        <f t="shared" si="32"/>
        <v>291180</v>
      </c>
      <c r="AB40" s="249">
        <f t="shared" si="32"/>
        <v>313430</v>
      </c>
      <c r="AC40" s="259">
        <f t="shared" si="32"/>
        <v>334840</v>
      </c>
      <c r="AD40" s="249">
        <f t="shared" si="32"/>
        <v>352380</v>
      </c>
      <c r="AE40" s="249">
        <f t="shared" si="32"/>
        <v>367740</v>
      </c>
      <c r="AF40" s="249">
        <f t="shared" si="32"/>
        <v>381720</v>
      </c>
      <c r="AG40" s="259">
        <f t="shared" si="32"/>
        <v>367450</v>
      </c>
      <c r="AH40" s="249">
        <f t="shared" si="32"/>
        <v>389100</v>
      </c>
      <c r="AI40" s="249">
        <f t="shared" si="32"/>
        <v>417190</v>
      </c>
      <c r="AJ40" s="249">
        <f t="shared" si="32"/>
        <v>425500</v>
      </c>
      <c r="AK40" s="259">
        <f t="shared" si="32"/>
        <v>423510</v>
      </c>
      <c r="AL40" s="249">
        <f t="shared" si="32"/>
        <v>476670</v>
      </c>
      <c r="AM40" s="211"/>
      <c r="AN40" s="249">
        <f t="shared" ref="AN40:AT40" si="33">SUM(AN37:AN39)</f>
        <v>122300</v>
      </c>
      <c r="AO40" s="249">
        <f t="shared" si="33"/>
        <v>127540</v>
      </c>
      <c r="AP40" s="249">
        <f t="shared" si="33"/>
        <v>171070</v>
      </c>
      <c r="AQ40" s="249">
        <f t="shared" si="33"/>
        <v>247740</v>
      </c>
      <c r="AR40" s="249">
        <f t="shared" si="33"/>
        <v>342220</v>
      </c>
      <c r="AS40" s="249">
        <f t="shared" si="33"/>
        <v>271490</v>
      </c>
      <c r="AT40" s="249">
        <f t="shared" si="33"/>
        <v>313430</v>
      </c>
      <c r="AU40" s="249">
        <f t="shared" ref="AU40" si="34">SUM(AU37:AU39)</f>
        <v>381720</v>
      </c>
      <c r="AV40" s="249">
        <f t="shared" ref="AV40" si="35">SUM(AV37:AV39)</f>
        <v>425500</v>
      </c>
    </row>
    <row r="41" spans="2:48"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L41" s="215"/>
      <c r="AN41" s="215"/>
      <c r="AO41" s="215"/>
      <c r="AP41" s="215"/>
      <c r="AQ41" s="215"/>
      <c r="AR41" s="215"/>
      <c r="AS41" s="215"/>
      <c r="AT41" s="215"/>
      <c r="AU41" s="215"/>
      <c r="AV41" s="215"/>
    </row>
    <row r="42" spans="2:48"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L42" s="215"/>
      <c r="AN42" s="215"/>
      <c r="AO42" s="215"/>
      <c r="AP42" s="215"/>
      <c r="AQ42" s="215"/>
      <c r="AR42" s="215"/>
      <c r="AS42" s="215"/>
      <c r="AT42" s="215"/>
      <c r="AU42" s="215"/>
      <c r="AV42" s="215"/>
    </row>
    <row r="43" spans="2:48" x14ac:dyDescent="0.15">
      <c r="B43" s="11" t="s">
        <v>34</v>
      </c>
      <c r="C43" s="247"/>
      <c r="D43" s="247"/>
      <c r="E43" s="258"/>
      <c r="F43" s="247"/>
      <c r="G43" s="247"/>
      <c r="H43" s="247"/>
      <c r="I43" s="258">
        <v>2857.9390000000003</v>
      </c>
      <c r="J43" s="247">
        <v>2955.7359999999999</v>
      </c>
      <c r="K43" s="247">
        <v>3158.509</v>
      </c>
      <c r="L43" s="247">
        <v>3100.1210000000001</v>
      </c>
      <c r="M43" s="258">
        <v>3541.0459999999994</v>
      </c>
      <c r="N43" s="247">
        <v>3775.4409999999998</v>
      </c>
      <c r="O43" s="247">
        <v>4320.2950000000001</v>
      </c>
      <c r="P43" s="247">
        <v>4045.212</v>
      </c>
      <c r="Q43" s="258">
        <v>5157.12</v>
      </c>
      <c r="R43" s="247">
        <v>5714.165</v>
      </c>
      <c r="S43" s="247">
        <v>6020.8419999999996</v>
      </c>
      <c r="T43" s="247">
        <v>5485.8509999999997</v>
      </c>
      <c r="U43" s="258">
        <v>6244.585</v>
      </c>
      <c r="V43" s="247">
        <v>6267.9660000000003</v>
      </c>
      <c r="W43" s="247">
        <v>6331.12</v>
      </c>
      <c r="X43" s="247">
        <v>5188.1509999999998</v>
      </c>
      <c r="Y43" s="258">
        <v>5257.116</v>
      </c>
      <c r="Z43" s="247">
        <v>5490.6859999999997</v>
      </c>
      <c r="AA43" s="247">
        <v>5914.1369999999997</v>
      </c>
      <c r="AB43" s="247">
        <v>5226.8289999999997</v>
      </c>
      <c r="AC43" s="258">
        <v>5889.2939999999999</v>
      </c>
      <c r="AD43" s="247">
        <v>6232.9409999999998</v>
      </c>
      <c r="AE43" s="247">
        <v>6428.5649999999996</v>
      </c>
      <c r="AF43" s="247">
        <v>6253.4520000000002</v>
      </c>
      <c r="AG43" s="258">
        <v>6453.79</v>
      </c>
      <c r="AH43" s="247">
        <v>6645.4250000000002</v>
      </c>
      <c r="AI43" s="247">
        <v>7128.7439999999997</v>
      </c>
      <c r="AJ43" s="247">
        <v>6419.0280000000002</v>
      </c>
      <c r="AK43" s="258">
        <v>6874.3670000000002</v>
      </c>
      <c r="AL43" s="247">
        <v>6967.8440000000001</v>
      </c>
      <c r="AN43" s="247">
        <v>2486.7330000000002</v>
      </c>
      <c r="AO43" s="247">
        <v>2536.4970000000003</v>
      </c>
      <c r="AP43" s="247">
        <v>3100.1210000000001</v>
      </c>
      <c r="AQ43" s="247">
        <f>+P43</f>
        <v>4045.212</v>
      </c>
      <c r="AR43" s="247">
        <f>+T43</f>
        <v>5485.8509999999997</v>
      </c>
      <c r="AS43" s="247">
        <f>+X43</f>
        <v>5188.1509999999998</v>
      </c>
      <c r="AT43" s="247">
        <f>+AB43</f>
        <v>5226.8289999999997</v>
      </c>
      <c r="AU43" s="247">
        <f>+AF43</f>
        <v>6253.4520000000002</v>
      </c>
      <c r="AV43" s="247">
        <f>+AJ43</f>
        <v>6419.0280000000002</v>
      </c>
    </row>
    <row r="44" spans="2:48" x14ac:dyDescent="0.15">
      <c r="B44" s="14" t="s">
        <v>38</v>
      </c>
      <c r="C44" s="247"/>
      <c r="D44" s="247"/>
      <c r="E44" s="258"/>
      <c r="F44" s="247"/>
      <c r="G44" s="247"/>
      <c r="H44" s="247"/>
      <c r="I44" s="258">
        <v>2207.4421730000004</v>
      </c>
      <c r="J44" s="247">
        <v>2170.8235099999997</v>
      </c>
      <c r="K44" s="247">
        <v>2361.7607170000001</v>
      </c>
      <c r="L44" s="247">
        <v>2623.5243509999996</v>
      </c>
      <c r="M44" s="258">
        <v>2277.7918259999997</v>
      </c>
      <c r="N44" s="247">
        <v>2648.972906</v>
      </c>
      <c r="O44" s="247">
        <v>3061.7678219999998</v>
      </c>
      <c r="P44" s="247">
        <v>3428.5360000000001</v>
      </c>
      <c r="Q44" s="258">
        <v>4031.8760000000002</v>
      </c>
      <c r="R44" s="247">
        <v>4338.1509999999998</v>
      </c>
      <c r="S44" s="247">
        <v>4477.68</v>
      </c>
      <c r="T44" s="247">
        <v>4585.0730000000003</v>
      </c>
      <c r="U44" s="258">
        <v>4494.1229999999996</v>
      </c>
      <c r="V44" s="247">
        <v>4200.1719999999996</v>
      </c>
      <c r="W44" s="247">
        <v>3925.605</v>
      </c>
      <c r="X44" s="247">
        <v>4064.1080000000002</v>
      </c>
      <c r="Y44" s="258">
        <v>3999.4459999999999</v>
      </c>
      <c r="Z44" s="247">
        <v>4213.4430000000002</v>
      </c>
      <c r="AA44" s="247">
        <v>4496.7579999999998</v>
      </c>
      <c r="AB44" s="247">
        <v>4622.3410000000003</v>
      </c>
      <c r="AC44" s="258">
        <v>4867.3379999999997</v>
      </c>
      <c r="AD44" s="247">
        <v>5291.0280000000002</v>
      </c>
      <c r="AE44" s="247">
        <v>5326.9570000000003</v>
      </c>
      <c r="AF44" s="247">
        <v>5795.1980000000003</v>
      </c>
      <c r="AG44" s="258">
        <v>5329.4080000000004</v>
      </c>
      <c r="AH44" s="247">
        <v>5266.6670000000004</v>
      </c>
      <c r="AI44" s="247">
        <v>5862.2579999999998</v>
      </c>
      <c r="AJ44" s="247">
        <v>5944.38</v>
      </c>
      <c r="AK44" s="258">
        <v>5596.9359999999997</v>
      </c>
      <c r="AL44" s="247">
        <v>6244.0320000000002</v>
      </c>
      <c r="AN44" s="247">
        <v>2072.692</v>
      </c>
      <c r="AO44" s="247">
        <v>2062.0970000000002</v>
      </c>
      <c r="AP44" s="247">
        <f>+L44</f>
        <v>2623.5243509999996</v>
      </c>
      <c r="AQ44" s="247">
        <f>+P44</f>
        <v>3428.5360000000001</v>
      </c>
      <c r="AR44" s="247">
        <f>+T44</f>
        <v>4585.0730000000003</v>
      </c>
      <c r="AS44" s="247">
        <f>+X44</f>
        <v>4064.1080000000002</v>
      </c>
      <c r="AT44" s="247">
        <f>+AB44</f>
        <v>4622.3410000000003</v>
      </c>
      <c r="AU44" s="247">
        <f>+AF44</f>
        <v>5795.1980000000003</v>
      </c>
      <c r="AV44" s="247">
        <f>+AJ44</f>
        <v>5944.38</v>
      </c>
    </row>
    <row r="45" spans="2:48" x14ac:dyDescent="0.15">
      <c r="B45" s="218" t="s">
        <v>35</v>
      </c>
      <c r="C45" s="247"/>
      <c r="D45" s="247"/>
      <c r="E45" s="258"/>
      <c r="F45" s="247"/>
      <c r="G45" s="247"/>
      <c r="H45" s="247"/>
      <c r="I45" s="258">
        <v>4307.3999999999996</v>
      </c>
      <c r="J45" s="247">
        <v>4269</v>
      </c>
      <c r="K45" s="247">
        <v>4258.8</v>
      </c>
      <c r="L45" s="247">
        <v>4515.3999999999996</v>
      </c>
      <c r="M45" s="258">
        <v>4887.3</v>
      </c>
      <c r="N45" s="247">
        <v>5299.7</v>
      </c>
      <c r="O45" s="247">
        <v>5829.6</v>
      </c>
      <c r="P45" s="247">
        <v>6493.1760000000004</v>
      </c>
      <c r="Q45" s="258">
        <v>7024.1890000000003</v>
      </c>
      <c r="R45" s="247">
        <v>7632.1859999999997</v>
      </c>
      <c r="S45" s="247">
        <v>8189.3779999999997</v>
      </c>
      <c r="T45" s="247">
        <v>8868.4079999999994</v>
      </c>
      <c r="U45" s="258">
        <v>9570.8220000000001</v>
      </c>
      <c r="V45" s="247">
        <v>10267.34</v>
      </c>
      <c r="W45" s="247">
        <v>10643.2</v>
      </c>
      <c r="X45" s="247">
        <v>10739.799000000001</v>
      </c>
      <c r="Y45" s="258">
        <v>10548.035</v>
      </c>
      <c r="Z45" s="247">
        <v>10506.492</v>
      </c>
      <c r="AA45" s="247">
        <v>10543.194</v>
      </c>
      <c r="AB45" s="247">
        <v>10539.075999999999</v>
      </c>
      <c r="AC45" s="258">
        <v>10365.824000000001</v>
      </c>
      <c r="AD45" s="247">
        <v>10299.24</v>
      </c>
      <c r="AE45" s="247">
        <v>10225.615</v>
      </c>
      <c r="AF45" s="247">
        <v>10119.037</v>
      </c>
      <c r="AG45" s="258">
        <v>10205.099</v>
      </c>
      <c r="AH45" s="247">
        <v>10214.82</v>
      </c>
      <c r="AI45" s="247">
        <v>10245.394</v>
      </c>
      <c r="AJ45" s="247">
        <v>10461.731</v>
      </c>
      <c r="AK45" s="258">
        <v>10567.627</v>
      </c>
      <c r="AL45" s="247">
        <v>10731.001</v>
      </c>
      <c r="AN45" s="247">
        <v>2381</v>
      </c>
      <c r="AO45" s="247">
        <v>4177.9809999999998</v>
      </c>
      <c r="AP45" s="247">
        <f>+L45</f>
        <v>4515.3999999999996</v>
      </c>
      <c r="AQ45" s="247">
        <f>+P45</f>
        <v>6493.1760000000004</v>
      </c>
      <c r="AR45" s="247">
        <f>+T45</f>
        <v>8868.4079999999994</v>
      </c>
      <c r="AS45" s="247">
        <f>+X45</f>
        <v>10739.799000000001</v>
      </c>
      <c r="AT45" s="247">
        <f>+AB45</f>
        <v>10539.075999999999</v>
      </c>
      <c r="AU45" s="247">
        <f>+AF45</f>
        <v>10119.037</v>
      </c>
      <c r="AV45" s="247">
        <f>+AJ45</f>
        <v>10461.731</v>
      </c>
    </row>
    <row r="46" spans="2:48" x14ac:dyDescent="0.15">
      <c r="B46" s="11" t="s">
        <v>36</v>
      </c>
      <c r="C46" s="247"/>
      <c r="D46" s="247"/>
      <c r="E46" s="258"/>
      <c r="F46" s="247"/>
      <c r="G46" s="247"/>
      <c r="H46" s="247"/>
      <c r="I46" s="258">
        <v>3933.1</v>
      </c>
      <c r="J46" s="247">
        <v>3951.2</v>
      </c>
      <c r="K46" s="247">
        <v>4041.2</v>
      </c>
      <c r="L46" s="247">
        <v>4050.5940000000001</v>
      </c>
      <c r="M46" s="258">
        <v>4089.9</v>
      </c>
      <c r="N46" s="247">
        <v>4034.4</v>
      </c>
      <c r="O46" s="247">
        <v>4010.3</v>
      </c>
      <c r="P46" s="247">
        <v>3995.982</v>
      </c>
      <c r="Q46" s="258">
        <v>4008.27</v>
      </c>
      <c r="R46" s="247">
        <v>4046.4229999999998</v>
      </c>
      <c r="S46" s="247">
        <v>4109.3710000000001</v>
      </c>
      <c r="T46" s="247">
        <v>4132.527</v>
      </c>
      <c r="U46" s="258">
        <v>4107.2269999999999</v>
      </c>
      <c r="V46" s="247">
        <v>4033.0230000000001</v>
      </c>
      <c r="W46" s="247">
        <v>4091.1089999999999</v>
      </c>
      <c r="X46" s="247">
        <v>4098.9449999999997</v>
      </c>
      <c r="Y46" s="258">
        <v>3995.0929999999998</v>
      </c>
      <c r="Z46" s="247">
        <v>3930.393</v>
      </c>
      <c r="AA46" s="247">
        <v>3853.9160000000002</v>
      </c>
      <c r="AB46" s="247">
        <v>3905.078</v>
      </c>
      <c r="AC46" s="258">
        <v>3783.8130000000001</v>
      </c>
      <c r="AD46" s="247">
        <v>3603.1419999999998</v>
      </c>
      <c r="AE46" s="247">
        <v>3412.752</v>
      </c>
      <c r="AF46" s="247">
        <v>0</v>
      </c>
      <c r="AG46" s="258">
        <v>0</v>
      </c>
      <c r="AH46" s="247">
        <v>0</v>
      </c>
      <c r="AI46" s="247">
        <v>0</v>
      </c>
      <c r="AJ46" s="247">
        <v>0</v>
      </c>
      <c r="AK46" s="258">
        <v>0</v>
      </c>
      <c r="AL46" s="247">
        <v>0</v>
      </c>
      <c r="AN46" s="247">
        <v>3725</v>
      </c>
      <c r="AO46" s="247">
        <v>3953.0929999999998</v>
      </c>
      <c r="AP46" s="247">
        <v>4050.5940000000001</v>
      </c>
      <c r="AQ46" s="247">
        <f>+P46</f>
        <v>3995.982</v>
      </c>
      <c r="AR46" s="247">
        <f>+T46</f>
        <v>4132.527</v>
      </c>
      <c r="AS46" s="247">
        <f>+X46</f>
        <v>4098.9449999999997</v>
      </c>
      <c r="AT46" s="247">
        <f>+AB46</f>
        <v>3905.078</v>
      </c>
      <c r="AU46" s="247">
        <f>+AF46</f>
        <v>0</v>
      </c>
      <c r="AV46" s="247">
        <f>+AJ46</f>
        <v>0</v>
      </c>
    </row>
    <row r="47" spans="2:48" x14ac:dyDescent="0.15">
      <c r="B47" s="219" t="s">
        <v>37</v>
      </c>
      <c r="C47" s="249"/>
      <c r="D47" s="249"/>
      <c r="E47" s="259"/>
      <c r="F47" s="249"/>
      <c r="G47" s="249"/>
      <c r="H47" s="249"/>
      <c r="I47" s="259">
        <f t="shared" ref="I47:O47" si="36">SUM(I45:I46,I43)</f>
        <v>11098.439</v>
      </c>
      <c r="J47" s="249">
        <f t="shared" si="36"/>
        <v>11175.936000000002</v>
      </c>
      <c r="K47" s="249">
        <f t="shared" si="36"/>
        <v>11458.509</v>
      </c>
      <c r="L47" s="249">
        <f t="shared" si="36"/>
        <v>11666.114999999998</v>
      </c>
      <c r="M47" s="259">
        <f t="shared" si="36"/>
        <v>12518.245999999999</v>
      </c>
      <c r="N47" s="249">
        <f t="shared" si="36"/>
        <v>13109.541000000001</v>
      </c>
      <c r="O47" s="249">
        <f t="shared" si="36"/>
        <v>14160.195000000002</v>
      </c>
      <c r="P47" s="249">
        <f t="shared" ref="P47:U47" si="37">SUM(P45:P46,P43)</f>
        <v>14534.369999999999</v>
      </c>
      <c r="Q47" s="259">
        <f t="shared" si="37"/>
        <v>16189.579000000002</v>
      </c>
      <c r="R47" s="249">
        <f t="shared" si="37"/>
        <v>17392.774000000001</v>
      </c>
      <c r="S47" s="249">
        <f t="shared" si="37"/>
        <v>18319.591</v>
      </c>
      <c r="T47" s="249">
        <f t="shared" si="37"/>
        <v>18486.786</v>
      </c>
      <c r="U47" s="259">
        <f t="shared" si="37"/>
        <v>19922.633999999998</v>
      </c>
      <c r="V47" s="249">
        <f t="shared" ref="V47:AL47" si="38">SUM(V45:V46,V43)</f>
        <v>20568.329000000002</v>
      </c>
      <c r="W47" s="249">
        <f t="shared" si="38"/>
        <v>21065.429</v>
      </c>
      <c r="X47" s="249">
        <f t="shared" si="38"/>
        <v>20026.895</v>
      </c>
      <c r="Y47" s="259">
        <f t="shared" si="38"/>
        <v>19800.243999999999</v>
      </c>
      <c r="Z47" s="249">
        <f t="shared" si="38"/>
        <v>19927.571</v>
      </c>
      <c r="AA47" s="249">
        <f t="shared" si="38"/>
        <v>20311.246999999999</v>
      </c>
      <c r="AB47" s="249">
        <f>SUM(AB45:AB46,AB43)</f>
        <v>19670.983</v>
      </c>
      <c r="AC47" s="259">
        <f t="shared" si="38"/>
        <v>20038.931</v>
      </c>
      <c r="AD47" s="249">
        <f t="shared" si="38"/>
        <v>20135.323</v>
      </c>
      <c r="AE47" s="249">
        <f t="shared" si="38"/>
        <v>20066.932000000001</v>
      </c>
      <c r="AF47" s="249">
        <f t="shared" si="38"/>
        <v>16372.489000000001</v>
      </c>
      <c r="AG47" s="259">
        <f t="shared" si="38"/>
        <v>16658.888999999999</v>
      </c>
      <c r="AH47" s="249">
        <f t="shared" si="38"/>
        <v>16860.244999999999</v>
      </c>
      <c r="AI47" s="249">
        <f t="shared" si="38"/>
        <v>17374.137999999999</v>
      </c>
      <c r="AJ47" s="249">
        <f t="shared" si="38"/>
        <v>16880.758999999998</v>
      </c>
      <c r="AK47" s="259">
        <f t="shared" si="38"/>
        <v>17441.993999999999</v>
      </c>
      <c r="AL47" s="249">
        <f t="shared" si="38"/>
        <v>17698.845000000001</v>
      </c>
      <c r="AM47" s="244"/>
      <c r="AN47" s="249">
        <f t="shared" ref="AN47:AT47" si="39">SUM(AN45:AN46,AN43)</f>
        <v>8592.7330000000002</v>
      </c>
      <c r="AO47" s="249">
        <f t="shared" si="39"/>
        <v>10667.571</v>
      </c>
      <c r="AP47" s="249">
        <f t="shared" si="39"/>
        <v>11666.114999999998</v>
      </c>
      <c r="AQ47" s="249">
        <f t="shared" si="39"/>
        <v>14534.369999999999</v>
      </c>
      <c r="AR47" s="249">
        <f t="shared" si="39"/>
        <v>18486.786</v>
      </c>
      <c r="AS47" s="249">
        <f t="shared" si="39"/>
        <v>20026.895</v>
      </c>
      <c r="AT47" s="249">
        <f t="shared" si="39"/>
        <v>19670.983</v>
      </c>
      <c r="AU47" s="249">
        <f t="shared" ref="AU47" si="40">SUM(AU45:AU46,AU43)</f>
        <v>16372.489000000001</v>
      </c>
      <c r="AV47" s="249">
        <f t="shared" ref="AV47" si="41">SUM(AV45:AV46,AV43)</f>
        <v>16880.758999999998</v>
      </c>
    </row>
    <row r="48" spans="2:48"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L48" s="215"/>
      <c r="AN48" s="215"/>
      <c r="AO48" s="215"/>
      <c r="AP48" s="215"/>
      <c r="AQ48" s="215"/>
      <c r="AR48" s="215"/>
      <c r="AS48" s="215"/>
      <c r="AT48" s="215"/>
      <c r="AU48" s="215"/>
      <c r="AV48" s="215"/>
    </row>
    <row r="49" spans="2:48" x14ac:dyDescent="0.15">
      <c r="B49" s="11" t="s">
        <v>171</v>
      </c>
      <c r="C49" s="250"/>
      <c r="D49" s="250"/>
      <c r="E49" s="262"/>
      <c r="F49" s="250"/>
      <c r="G49" s="250"/>
      <c r="H49" s="250"/>
      <c r="I49" s="262">
        <f>+I39/I40</f>
        <v>0.13915607666924104</v>
      </c>
      <c r="J49" s="250">
        <f t="shared" ref="J49:O49" si="42">+J39/J40</f>
        <v>0.13517413261625238</v>
      </c>
      <c r="K49" s="250">
        <f t="shared" si="42"/>
        <v>0.128453214513049</v>
      </c>
      <c r="L49" s="250">
        <f t="shared" si="42"/>
        <v>0.11381305898170339</v>
      </c>
      <c r="M49" s="262">
        <f t="shared" si="42"/>
        <v>0.18549924406757379</v>
      </c>
      <c r="N49" s="250">
        <f t="shared" si="42"/>
        <v>0.14160123852703749</v>
      </c>
      <c r="O49" s="250">
        <f t="shared" si="42"/>
        <v>0.11779111644657864</v>
      </c>
      <c r="P49" s="250">
        <f t="shared" ref="P49:W49" si="43">+P39/P40</f>
        <v>0.10559457495761686</v>
      </c>
      <c r="Q49" s="262">
        <f t="shared" si="43"/>
        <v>9.7159235206617567E-2</v>
      </c>
      <c r="R49" s="250">
        <f t="shared" si="43"/>
        <v>9.2604996985732463E-2</v>
      </c>
      <c r="S49" s="250">
        <f t="shared" si="43"/>
        <v>9.6180037615928402E-2</v>
      </c>
      <c r="T49" s="250">
        <f t="shared" si="43"/>
        <v>8.4711589036292445E-2</v>
      </c>
      <c r="U49" s="262">
        <f t="shared" si="43"/>
        <v>0.10392762577228597</v>
      </c>
      <c r="V49" s="250">
        <f t="shared" si="43"/>
        <v>0.12828838135999704</v>
      </c>
      <c r="W49" s="250">
        <f t="shared" si="43"/>
        <v>0.12935006555534745</v>
      </c>
      <c r="X49" s="250">
        <f t="shared" ref="X49:AD49" si="44">+X39/X40</f>
        <v>0.1156948690559505</v>
      </c>
      <c r="Y49" s="262">
        <f t="shared" si="44"/>
        <v>9.6549833830129855E-2</v>
      </c>
      <c r="Z49" s="250">
        <f t="shared" si="44"/>
        <v>9.3668603486275301E-2</v>
      </c>
      <c r="AA49" s="250">
        <f t="shared" si="44"/>
        <v>9.9148293152002201E-2</v>
      </c>
      <c r="AB49" s="250">
        <f t="shared" si="44"/>
        <v>8.8440800178668288E-2</v>
      </c>
      <c r="AC49" s="262">
        <f t="shared" si="44"/>
        <v>8.3472703380719146E-2</v>
      </c>
      <c r="AD49" s="250">
        <f t="shared" si="44"/>
        <v>7.9601566490720241E-2</v>
      </c>
      <c r="AE49" s="250">
        <f t="shared" ref="AE49:AG49" si="45">+AE39/AE40</f>
        <v>7.752760102246152E-2</v>
      </c>
      <c r="AF49" s="250">
        <f t="shared" si="45"/>
        <v>7.1937545845122075E-2</v>
      </c>
      <c r="AG49" s="262">
        <f t="shared" si="45"/>
        <v>8.2813988297727584E-2</v>
      </c>
      <c r="AH49" s="296">
        <f t="shared" ref="AH49:AI49" si="46">+AH39/AH40</f>
        <v>8.3243382163968135E-2</v>
      </c>
      <c r="AI49" s="296">
        <f t="shared" si="46"/>
        <v>7.3228025599846591E-2</v>
      </c>
      <c r="AJ49" s="296">
        <f t="shared" ref="AJ49:AL49" si="47">+AJ39/AJ40</f>
        <v>6.9917743830787304E-2</v>
      </c>
      <c r="AK49" s="262">
        <f t="shared" si="47"/>
        <v>7.9502254964463642E-2</v>
      </c>
      <c r="AL49" s="296">
        <f t="shared" si="47"/>
        <v>6.9691820336920715E-2</v>
      </c>
      <c r="AN49" s="250">
        <f t="shared" ref="AN49:AT49" si="48">+AN39/AN40</f>
        <v>0.13565004088307442</v>
      </c>
      <c r="AO49" s="250">
        <f t="shared" si="48"/>
        <v>0.16316449741257644</v>
      </c>
      <c r="AP49" s="250">
        <f t="shared" si="48"/>
        <v>0.11381305898170339</v>
      </c>
      <c r="AQ49" s="250">
        <f t="shared" si="48"/>
        <v>0.10559457495761686</v>
      </c>
      <c r="AR49" s="250">
        <f t="shared" si="48"/>
        <v>8.4711589036292445E-2</v>
      </c>
      <c r="AS49" s="250">
        <f t="shared" si="48"/>
        <v>0.1156948690559505</v>
      </c>
      <c r="AT49" s="250">
        <f t="shared" si="48"/>
        <v>8.8440800178668288E-2</v>
      </c>
      <c r="AU49" s="250">
        <f t="shared" ref="AU49" si="49">+AU39/AU40</f>
        <v>7.1937545845122075E-2</v>
      </c>
      <c r="AV49" s="250">
        <f t="shared" ref="AV49" si="50">+AV39/AV40</f>
        <v>6.9917743830787304E-2</v>
      </c>
    </row>
    <row r="50" spans="2:48" x14ac:dyDescent="0.15">
      <c r="B50" s="7" t="s">
        <v>40</v>
      </c>
      <c r="C50" s="250"/>
      <c r="D50" s="250"/>
      <c r="E50" s="262"/>
      <c r="F50" s="250"/>
      <c r="G50" s="250"/>
      <c r="H50" s="250"/>
      <c r="I50" s="262">
        <f>+I47/I39</f>
        <v>0.55996160443995968</v>
      </c>
      <c r="J50" s="250">
        <f t="shared" ref="J50:O50" si="51">+J47/J39</f>
        <v>0.54225793304221259</v>
      </c>
      <c r="K50" s="250">
        <f t="shared" si="51"/>
        <v>0.5678151139742319</v>
      </c>
      <c r="L50" s="250">
        <f t="shared" si="51"/>
        <v>0.59918412942989208</v>
      </c>
      <c r="M50" s="262">
        <f t="shared" si="51"/>
        <v>0.4435948263642806</v>
      </c>
      <c r="N50" s="250">
        <f t="shared" si="51"/>
        <v>0.51189148770011716</v>
      </c>
      <c r="O50" s="250">
        <f t="shared" si="51"/>
        <v>0.57726029351814112</v>
      </c>
      <c r="P50" s="250">
        <f t="shared" ref="P50:W50" si="52">+P47/P39</f>
        <v>0.55559518348623849</v>
      </c>
      <c r="Q50" s="262">
        <f t="shared" si="52"/>
        <v>0.60453991784914118</v>
      </c>
      <c r="R50" s="250">
        <f t="shared" si="52"/>
        <v>0.62903341772151899</v>
      </c>
      <c r="S50" s="250">
        <f t="shared" si="52"/>
        <v>0.61765310182063382</v>
      </c>
      <c r="T50" s="250">
        <f t="shared" si="52"/>
        <v>0.63769527423249395</v>
      </c>
      <c r="U50" s="262">
        <f t="shared" si="52"/>
        <v>0.60426551410373064</v>
      </c>
      <c r="V50" s="250">
        <f t="shared" si="52"/>
        <v>0.59155389703767625</v>
      </c>
      <c r="W50" s="250">
        <f t="shared" si="52"/>
        <v>0.61006165653055311</v>
      </c>
      <c r="X50" s="250">
        <f t="shared" ref="X50:AD50" si="53">+X47/X39</f>
        <v>0.63759614772365492</v>
      </c>
      <c r="Y50" s="262">
        <f t="shared" si="53"/>
        <v>0.70263463449254782</v>
      </c>
      <c r="Z50" s="250">
        <f t="shared" si="53"/>
        <v>0.71043033868092687</v>
      </c>
      <c r="AA50" s="250">
        <f t="shared" si="53"/>
        <v>0.70354163491513677</v>
      </c>
      <c r="AB50" s="250">
        <f t="shared" si="53"/>
        <v>0.70963142135642132</v>
      </c>
      <c r="AC50" s="262">
        <f t="shared" si="53"/>
        <v>0.71695638640429338</v>
      </c>
      <c r="AD50" s="250">
        <f t="shared" si="53"/>
        <v>0.71783682709447416</v>
      </c>
      <c r="AE50" s="250">
        <f t="shared" ref="AE50:AG50" si="54">+AE47/AE39</f>
        <v>0.70385591020694493</v>
      </c>
      <c r="AF50" s="250">
        <f t="shared" si="54"/>
        <v>0.59623048069919893</v>
      </c>
      <c r="AG50" s="262">
        <f t="shared" si="54"/>
        <v>0.54744952349654941</v>
      </c>
      <c r="AH50" s="296">
        <f t="shared" ref="AH50:AI50" si="55">+AH47/AH39</f>
        <v>0.52053859215807341</v>
      </c>
      <c r="AI50" s="296">
        <f t="shared" si="55"/>
        <v>0.5687115548281505</v>
      </c>
      <c r="AJ50" s="296">
        <f t="shared" ref="AJ50:AL50" si="56">+AJ47/AJ39</f>
        <v>0.56742047058823519</v>
      </c>
      <c r="AK50" s="262">
        <f t="shared" si="56"/>
        <v>0.51802773982773975</v>
      </c>
      <c r="AL50" s="296">
        <f t="shared" si="56"/>
        <v>0.53277679108970499</v>
      </c>
      <c r="AN50" s="250">
        <f t="shared" ref="AN50:AT50" si="57">+AN47/AN39</f>
        <v>0.51794653405666069</v>
      </c>
      <c r="AO50" s="250">
        <f t="shared" si="57"/>
        <v>0.51261753964440171</v>
      </c>
      <c r="AP50" s="250">
        <f t="shared" si="57"/>
        <v>0.59918412942989208</v>
      </c>
      <c r="AQ50" s="250">
        <f t="shared" si="57"/>
        <v>0.55559518348623849</v>
      </c>
      <c r="AR50" s="250">
        <f t="shared" si="57"/>
        <v>0.63769527423249395</v>
      </c>
      <c r="AS50" s="250">
        <f t="shared" si="57"/>
        <v>0.63759614772365492</v>
      </c>
      <c r="AT50" s="250">
        <f t="shared" si="57"/>
        <v>0.70963142135642132</v>
      </c>
      <c r="AU50" s="250">
        <f t="shared" ref="AU50" si="58">+AU47/AU39</f>
        <v>0.59623048069919893</v>
      </c>
      <c r="AV50" s="250">
        <f t="shared" ref="AV50" si="59">+AV47/AV39</f>
        <v>0.56742047058823519</v>
      </c>
    </row>
    <row r="51" spans="2:48"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L51" s="215"/>
      <c r="AN51" s="215"/>
      <c r="AO51" s="215"/>
      <c r="AP51" s="215"/>
      <c r="AQ51" s="215"/>
      <c r="AR51" s="215"/>
      <c r="AS51" s="215"/>
      <c r="AT51" s="215"/>
      <c r="AU51" s="215"/>
      <c r="AV51" s="215"/>
    </row>
    <row r="52" spans="2:48"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L52" s="215"/>
      <c r="AN52" s="215"/>
      <c r="AO52" s="215"/>
      <c r="AP52" s="215"/>
      <c r="AQ52" s="215"/>
      <c r="AR52" s="215"/>
      <c r="AS52" s="215"/>
      <c r="AT52" s="215"/>
      <c r="AU52" s="215"/>
      <c r="AV52" s="215"/>
    </row>
    <row r="53" spans="2:48" x14ac:dyDescent="0.15">
      <c r="B53" s="8" t="s">
        <v>43</v>
      </c>
      <c r="C53" s="247"/>
      <c r="D53" s="247"/>
      <c r="E53" s="258"/>
      <c r="F53" s="247"/>
      <c r="G53" s="247"/>
      <c r="H53" s="247"/>
      <c r="I53" s="258">
        <v>3400100</v>
      </c>
      <c r="J53" s="247">
        <v>3123300</v>
      </c>
      <c r="K53" s="247">
        <v>3527000</v>
      </c>
      <c r="L53" s="247">
        <v>3541300</v>
      </c>
      <c r="M53" s="258">
        <v>5930100</v>
      </c>
      <c r="N53" s="247">
        <v>5589500</v>
      </c>
      <c r="O53" s="247">
        <v>5822900</v>
      </c>
      <c r="P53" s="247">
        <v>6144600</v>
      </c>
      <c r="Q53" s="258">
        <v>7730200</v>
      </c>
      <c r="R53" s="247">
        <v>6354200</v>
      </c>
      <c r="S53" s="247">
        <v>6070500</v>
      </c>
      <c r="T53" s="247">
        <v>6612700</v>
      </c>
      <c r="U53" s="258">
        <v>6338400</v>
      </c>
      <c r="V53" s="247">
        <v>5012800</v>
      </c>
      <c r="W53" s="247">
        <v>5084900</v>
      </c>
      <c r="X53" s="247">
        <v>5212700</v>
      </c>
      <c r="Y53" s="258">
        <v>5711100</v>
      </c>
      <c r="Z53" s="247">
        <v>4575400</v>
      </c>
      <c r="AA53" s="247">
        <v>4385200</v>
      </c>
      <c r="AB53" s="247">
        <v>4752000</v>
      </c>
      <c r="AC53" s="258">
        <v>5198400</v>
      </c>
      <c r="AD53" s="247">
        <v>5167600</v>
      </c>
      <c r="AE53" s="247">
        <v>5263100</v>
      </c>
      <c r="AF53" s="247">
        <v>5564100</v>
      </c>
      <c r="AG53" s="258">
        <v>6432800</v>
      </c>
      <c r="AH53" s="247">
        <v>5914100</v>
      </c>
      <c r="AI53" s="247">
        <v>6296500</v>
      </c>
      <c r="AJ53" s="247">
        <v>6176400</v>
      </c>
      <c r="AK53" s="258">
        <v>7107000</v>
      </c>
      <c r="AL53" s="247">
        <v>6839300</v>
      </c>
      <c r="AN53" s="247">
        <v>13711200</v>
      </c>
      <c r="AO53" s="247">
        <v>13547400</v>
      </c>
      <c r="AP53" s="247">
        <f>SUM(I53:L53)</f>
        <v>13591700</v>
      </c>
      <c r="AQ53" s="247">
        <f>SUM(M53:P53)</f>
        <v>23487100</v>
      </c>
      <c r="AR53" s="247">
        <f>SUM(Q53:T53)</f>
        <v>26767600</v>
      </c>
      <c r="AS53" s="247">
        <f>SUM(U53:X53)</f>
        <v>21648800</v>
      </c>
      <c r="AT53" s="247">
        <f>SUM(Y53:AB53)</f>
        <v>19423700</v>
      </c>
      <c r="AU53" s="247">
        <f>SUM(AC53:AF53)</f>
        <v>21193200</v>
      </c>
      <c r="AV53" s="247">
        <f>SUM(AG53:AJ53)</f>
        <v>24819800</v>
      </c>
    </row>
    <row r="54" spans="2:48" x14ac:dyDescent="0.15">
      <c r="B54" s="8" t="s">
        <v>396</v>
      </c>
      <c r="C54" s="247"/>
      <c r="D54" s="247"/>
      <c r="E54" s="258"/>
      <c r="F54" s="247"/>
      <c r="G54" s="247"/>
      <c r="H54" s="247"/>
      <c r="I54" s="258">
        <v>313100</v>
      </c>
      <c r="J54" s="247">
        <v>319200</v>
      </c>
      <c r="K54" s="247">
        <v>312400</v>
      </c>
      <c r="L54" s="247">
        <v>303500</v>
      </c>
      <c r="M54" s="258">
        <v>584200</v>
      </c>
      <c r="N54" s="247">
        <v>697300</v>
      </c>
      <c r="O54" s="247">
        <v>655600</v>
      </c>
      <c r="P54" s="247">
        <v>868100</v>
      </c>
      <c r="Q54" s="258">
        <v>1332700</v>
      </c>
      <c r="R54" s="247">
        <v>852000</v>
      </c>
      <c r="S54" s="247">
        <v>832200</v>
      </c>
      <c r="T54" s="247">
        <v>862800</v>
      </c>
      <c r="U54" s="258">
        <v>838300</v>
      </c>
      <c r="V54" s="247">
        <v>659900</v>
      </c>
      <c r="W54" s="247">
        <v>695000</v>
      </c>
      <c r="X54" s="247">
        <v>646100</v>
      </c>
      <c r="Y54" s="258">
        <v>773300</v>
      </c>
      <c r="Z54" s="247">
        <v>612200</v>
      </c>
      <c r="AA54" s="247">
        <v>645600</v>
      </c>
      <c r="AB54" s="247">
        <v>695600</v>
      </c>
      <c r="AC54" s="258">
        <v>865400</v>
      </c>
      <c r="AD54" s="247">
        <v>921400</v>
      </c>
      <c r="AE54" s="247">
        <v>910400</v>
      </c>
      <c r="AF54" s="247">
        <v>1184800</v>
      </c>
      <c r="AG54" s="258">
        <v>1310700</v>
      </c>
      <c r="AH54" s="247">
        <v>1228200</v>
      </c>
      <c r="AI54" s="247">
        <v>1578300</v>
      </c>
      <c r="AJ54" s="247">
        <v>1762200</v>
      </c>
      <c r="AK54" s="258">
        <v>1943700</v>
      </c>
      <c r="AL54" s="247">
        <v>1977500</v>
      </c>
      <c r="AN54" s="247">
        <v>1171300</v>
      </c>
      <c r="AO54" s="247">
        <v>1351500</v>
      </c>
      <c r="AP54" s="247">
        <f>SUM(I54:L54)</f>
        <v>1248200</v>
      </c>
      <c r="AQ54" s="247">
        <f>SUM(M54:P54)</f>
        <v>2805200</v>
      </c>
      <c r="AR54" s="247">
        <f>SUM(Q54:T54)</f>
        <v>3879700</v>
      </c>
      <c r="AS54" s="247">
        <f>SUM(U54:X54)</f>
        <v>2839300</v>
      </c>
      <c r="AT54" s="247">
        <f>SUM(Y54:AB54)</f>
        <v>2726700</v>
      </c>
      <c r="AU54" s="247">
        <f>SUM(AC54:AF54)</f>
        <v>3882000</v>
      </c>
      <c r="AV54" s="247">
        <f>SUM(AG54:AJ54)</f>
        <v>5879400</v>
      </c>
    </row>
    <row r="55" spans="2:48" x14ac:dyDescent="0.15">
      <c r="B55" s="6" t="s">
        <v>45</v>
      </c>
      <c r="C55" s="247"/>
      <c r="D55" s="247"/>
      <c r="E55" s="258"/>
      <c r="F55" s="247"/>
      <c r="G55" s="247"/>
      <c r="H55" s="247"/>
      <c r="I55" s="258">
        <v>86568.240388999999</v>
      </c>
      <c r="J55" s="247">
        <v>76577.281237000003</v>
      </c>
      <c r="K55" s="247">
        <v>78134.820315000004</v>
      </c>
      <c r="L55" s="247">
        <v>92419.713954999999</v>
      </c>
      <c r="M55" s="258">
        <v>163278.20322872335</v>
      </c>
      <c r="N55" s="247">
        <v>133237.08227499999</v>
      </c>
      <c r="O55" s="247">
        <v>135969.991656</v>
      </c>
      <c r="P55" s="247">
        <v>149100</v>
      </c>
      <c r="Q55" s="258">
        <v>194000</v>
      </c>
      <c r="R55" s="247">
        <v>163900</v>
      </c>
      <c r="S55" s="247">
        <v>142500</v>
      </c>
      <c r="T55" s="247">
        <v>176000</v>
      </c>
      <c r="U55" s="258">
        <v>177300</v>
      </c>
      <c r="V55" s="247">
        <v>130800</v>
      </c>
      <c r="W55" s="247">
        <v>126700</v>
      </c>
      <c r="X55" s="247">
        <v>132800</v>
      </c>
      <c r="Y55" s="258">
        <v>141300</v>
      </c>
      <c r="Z55" s="247">
        <v>105400</v>
      </c>
      <c r="AA55" s="247">
        <v>101100</v>
      </c>
      <c r="AB55" s="247">
        <v>114500</v>
      </c>
      <c r="AC55" s="258">
        <v>144600</v>
      </c>
      <c r="AD55" s="247">
        <v>140100</v>
      </c>
      <c r="AE55" s="247">
        <v>125700</v>
      </c>
      <c r="AF55" s="247">
        <v>144300</v>
      </c>
      <c r="AG55" s="258">
        <v>168500</v>
      </c>
      <c r="AH55" s="247">
        <v>143700</v>
      </c>
      <c r="AI55" s="247">
        <v>142300</v>
      </c>
      <c r="AJ55" s="247">
        <v>150200</v>
      </c>
      <c r="AK55" s="258">
        <v>187000</v>
      </c>
      <c r="AL55" s="247">
        <v>172000</v>
      </c>
      <c r="AN55" s="247">
        <v>372423</v>
      </c>
      <c r="AO55" s="247">
        <v>368865.26324299996</v>
      </c>
      <c r="AP55" s="247">
        <f>SUM(I55:L55)</f>
        <v>333700.05589600001</v>
      </c>
      <c r="AQ55" s="247">
        <f>SUM(M55:P55)</f>
        <v>581585.27715972334</v>
      </c>
      <c r="AR55" s="247">
        <f>SUM(Q55:T55)</f>
        <v>676400</v>
      </c>
      <c r="AS55" s="247">
        <f>SUM(U55:X55)</f>
        <v>567600</v>
      </c>
      <c r="AT55" s="247">
        <f>SUM(Y55:AB55)</f>
        <v>462300</v>
      </c>
      <c r="AU55" s="247">
        <f>SUM(AC55:AF55)</f>
        <v>554700</v>
      </c>
      <c r="AV55" s="247">
        <f>SUM(AG55:AJ55)</f>
        <v>604700</v>
      </c>
    </row>
    <row r="56" spans="2:48" x14ac:dyDescent="0.15">
      <c r="B56" s="8" t="s">
        <v>395</v>
      </c>
      <c r="C56" s="247"/>
      <c r="D56" s="247"/>
      <c r="E56" s="258"/>
      <c r="F56" s="247"/>
      <c r="G56" s="247"/>
      <c r="H56" s="247"/>
      <c r="I56" s="258">
        <v>10000</v>
      </c>
      <c r="J56" s="247">
        <v>11100</v>
      </c>
      <c r="K56" s="247">
        <v>8800</v>
      </c>
      <c r="L56" s="247">
        <v>9400</v>
      </c>
      <c r="M56" s="258">
        <v>28500</v>
      </c>
      <c r="N56" s="247">
        <v>20100</v>
      </c>
      <c r="O56" s="247">
        <v>25900</v>
      </c>
      <c r="P56" s="247">
        <v>30800</v>
      </c>
      <c r="Q56" s="258">
        <v>44600</v>
      </c>
      <c r="R56" s="247">
        <v>29800</v>
      </c>
      <c r="S56" s="247">
        <v>26900</v>
      </c>
      <c r="T56" s="247">
        <v>33900</v>
      </c>
      <c r="U56" s="258">
        <v>35600</v>
      </c>
      <c r="V56" s="247">
        <v>22100</v>
      </c>
      <c r="W56" s="247">
        <v>22800</v>
      </c>
      <c r="X56" s="247">
        <v>18200</v>
      </c>
      <c r="Y56" s="258">
        <v>24100</v>
      </c>
      <c r="Z56" s="247">
        <v>19800</v>
      </c>
      <c r="AA56" s="247">
        <v>17100</v>
      </c>
      <c r="AB56" s="247">
        <v>17900</v>
      </c>
      <c r="AC56" s="258">
        <v>32900</v>
      </c>
      <c r="AD56" s="247">
        <v>35100</v>
      </c>
      <c r="AE56" s="247">
        <v>25700</v>
      </c>
      <c r="AF56" s="247">
        <v>39200</v>
      </c>
      <c r="AG56" s="258">
        <v>40500</v>
      </c>
      <c r="AH56" s="247">
        <v>28700</v>
      </c>
      <c r="AI56" s="247">
        <v>33900</v>
      </c>
      <c r="AJ56" s="247">
        <v>40300</v>
      </c>
      <c r="AK56" s="258">
        <v>45200</v>
      </c>
      <c r="AL56" s="247">
        <v>48200</v>
      </c>
      <c r="AN56" s="247">
        <v>41800</v>
      </c>
      <c r="AO56" s="247">
        <v>50400</v>
      </c>
      <c r="AP56" s="247">
        <f t="shared" ref="AP56" si="60">SUM(I56:L56)</f>
        <v>39300</v>
      </c>
      <c r="AQ56" s="247">
        <f t="shared" ref="AQ56" si="61">SUM(M56:P56)</f>
        <v>105300</v>
      </c>
      <c r="AR56" s="247">
        <f t="shared" ref="AR56" si="62">SUM(Q56:T56)</f>
        <v>135200</v>
      </c>
      <c r="AS56" s="247">
        <f t="shared" ref="AS56" si="63">SUM(U56:X56)</f>
        <v>98700</v>
      </c>
      <c r="AT56" s="247">
        <f t="shared" ref="AT56" si="64">SUM(Y56:AB56)</f>
        <v>78900</v>
      </c>
      <c r="AU56" s="247">
        <f t="shared" ref="AU56" si="65">SUM(AC56:AF56)</f>
        <v>132900</v>
      </c>
      <c r="AV56" s="247">
        <f t="shared" ref="AV56" si="66">SUM(AG56:AJ56)</f>
        <v>143400</v>
      </c>
    </row>
    <row r="57" spans="2:48" x14ac:dyDescent="0.15">
      <c r="B57" s="11" t="s">
        <v>46</v>
      </c>
      <c r="C57" s="247"/>
      <c r="D57" s="247"/>
      <c r="E57" s="258"/>
      <c r="F57" s="247"/>
      <c r="G57" s="247"/>
      <c r="H57" s="247"/>
      <c r="I57" s="258">
        <v>63</v>
      </c>
      <c r="J57" s="247">
        <v>56.5</v>
      </c>
      <c r="K57" s="247">
        <v>66</v>
      </c>
      <c r="L57" s="247">
        <v>61.5</v>
      </c>
      <c r="M57" s="258">
        <v>63</v>
      </c>
      <c r="N57" s="247">
        <v>58.5</v>
      </c>
      <c r="O57" s="247">
        <v>66</v>
      </c>
      <c r="P57" s="247">
        <v>62.5</v>
      </c>
      <c r="Q57" s="258">
        <v>61.5</v>
      </c>
      <c r="R57" s="247">
        <v>59.5</v>
      </c>
      <c r="S57" s="247">
        <v>66</v>
      </c>
      <c r="T57" s="247">
        <v>63.5</v>
      </c>
      <c r="U57" s="258">
        <v>62.5</v>
      </c>
      <c r="V57" s="247">
        <v>59</v>
      </c>
      <c r="W57" s="247">
        <v>66</v>
      </c>
      <c r="X57" s="247">
        <v>63.5</v>
      </c>
      <c r="Y57" s="258">
        <v>63.5</v>
      </c>
      <c r="Z57" s="247">
        <v>58</v>
      </c>
      <c r="AA57" s="247">
        <v>65</v>
      </c>
      <c r="AB57" s="247">
        <v>62.5</v>
      </c>
      <c r="AC57" s="258">
        <v>62</v>
      </c>
      <c r="AD57" s="247">
        <v>59</v>
      </c>
      <c r="AE57" s="247">
        <v>66</v>
      </c>
      <c r="AF57" s="247">
        <v>61.5</v>
      </c>
      <c r="AG57" s="258">
        <v>62</v>
      </c>
      <c r="AH57" s="247">
        <v>57.5</v>
      </c>
      <c r="AI57" s="247">
        <v>66</v>
      </c>
      <c r="AJ57" s="247">
        <v>61.5</v>
      </c>
      <c r="AK57" s="258">
        <v>61.5</v>
      </c>
      <c r="AL57" s="247">
        <v>58.5</v>
      </c>
      <c r="AN57" s="247">
        <v>249</v>
      </c>
      <c r="AO57" s="247">
        <v>247.5</v>
      </c>
      <c r="AP57" s="247">
        <f>SUM(I57:L57)</f>
        <v>247</v>
      </c>
      <c r="AQ57" s="247">
        <f>SUM(M57:P57)</f>
        <v>250</v>
      </c>
      <c r="AR57" s="247">
        <f>SUM(Q57:T57)</f>
        <v>250.5</v>
      </c>
      <c r="AS57" s="247">
        <f>SUM(U57:X57)</f>
        <v>251</v>
      </c>
      <c r="AT57" s="247">
        <f>SUM(Y57:AB57)</f>
        <v>249</v>
      </c>
      <c r="AU57" s="247">
        <f>SUM(AC57:AF57)</f>
        <v>248.5</v>
      </c>
      <c r="AV57" s="247">
        <f>SUM(AG57:AJ57)</f>
        <v>247</v>
      </c>
    </row>
    <row r="58" spans="2:48" x14ac:dyDescent="0.15">
      <c r="B58" s="11" t="s">
        <v>47</v>
      </c>
      <c r="C58" s="254"/>
      <c r="D58" s="254"/>
      <c r="E58" s="265"/>
      <c r="F58" s="254"/>
      <c r="G58" s="254"/>
      <c r="H58" s="254"/>
      <c r="I58" s="265">
        <f t="shared" ref="I58:AL58" si="67">+I53/I57/AVERAGE(H27:I27)</f>
        <v>0.16396731359514286</v>
      </c>
      <c r="J58" s="254">
        <f t="shared" si="67"/>
        <v>0.16125917741452483</v>
      </c>
      <c r="K58" s="254">
        <f t="shared" si="67"/>
        <v>0.15008957713634022</v>
      </c>
      <c r="L58" s="254">
        <f t="shared" si="67"/>
        <v>0.15939685486820265</v>
      </c>
      <c r="M58" s="265">
        <f t="shared" si="67"/>
        <v>0.25567994412215517</v>
      </c>
      <c r="N58" s="254">
        <f t="shared" si="67"/>
        <v>0.2535075843645756</v>
      </c>
      <c r="O58" s="254">
        <f t="shared" si="67"/>
        <v>0.22927691677691675</v>
      </c>
      <c r="P58" s="254">
        <f t="shared" si="67"/>
        <v>0.25009819384380566</v>
      </c>
      <c r="Q58" s="265">
        <f t="shared" si="67"/>
        <v>0.30921109211092113</v>
      </c>
      <c r="R58" s="254">
        <f t="shared" si="67"/>
        <v>0.25246637662157062</v>
      </c>
      <c r="S58" s="254">
        <f t="shared" si="67"/>
        <v>0.21110230141673794</v>
      </c>
      <c r="T58" s="254">
        <f t="shared" si="67"/>
        <v>0.23356960384437758</v>
      </c>
      <c r="U58" s="265">
        <f t="shared" si="67"/>
        <v>0.22887474610697359</v>
      </c>
      <c r="V58" s="254">
        <f t="shared" si="67"/>
        <v>0.19489095507376256</v>
      </c>
      <c r="W58" s="254">
        <f t="shared" si="67"/>
        <v>0.17498055733349852</v>
      </c>
      <c r="X58" s="254">
        <f t="shared" si="67"/>
        <v>0.18370765084374524</v>
      </c>
      <c r="Y58" s="265">
        <f t="shared" si="67"/>
        <v>0.19873733880712707</v>
      </c>
      <c r="Z58" s="254">
        <f t="shared" si="67"/>
        <v>0.17205279584853156</v>
      </c>
      <c r="AA58" s="254">
        <f t="shared" si="67"/>
        <v>0.14564899694433375</v>
      </c>
      <c r="AB58" s="254">
        <f>+AB53/AB57/AVERAGE(AA27:AB27)</f>
        <v>0.16265269012728634</v>
      </c>
      <c r="AC58" s="265">
        <f t="shared" si="67"/>
        <v>0.17726249744254244</v>
      </c>
      <c r="AD58" s="254">
        <f t="shared" si="67"/>
        <v>0.18302463834075042</v>
      </c>
      <c r="AE58" s="254">
        <f t="shared" si="67"/>
        <v>0.1640484250029611</v>
      </c>
      <c r="AF58" s="254">
        <f t="shared" si="67"/>
        <v>0.18733444607455702</v>
      </c>
      <c r="AG58" s="265">
        <f t="shared" si="67"/>
        <v>0.2167882129328822</v>
      </c>
      <c r="AH58" s="254">
        <f t="shared" si="67"/>
        <v>0.21200435544363239</v>
      </c>
      <c r="AI58" s="254">
        <f t="shared" si="67"/>
        <v>0.19290570245984259</v>
      </c>
      <c r="AJ58" s="254">
        <f t="shared" si="67"/>
        <v>0.19871244220950324</v>
      </c>
      <c r="AK58" s="265">
        <f t="shared" si="67"/>
        <v>0.22482680079719086</v>
      </c>
      <c r="AL58" s="254">
        <f t="shared" si="67"/>
        <v>0.22292136735839663</v>
      </c>
      <c r="AN58" s="254">
        <f>+AN53/AN57/AVERAGE(AN27,C27)</f>
        <v>0.19270362289051216</v>
      </c>
      <c r="AO58" s="254">
        <f t="shared" ref="AO58:AV58" si="68">+AO53/AO57/AVERAGE(AN27:AO27)</f>
        <v>0.17412746841727278</v>
      </c>
      <c r="AP58" s="254">
        <f t="shared" si="68"/>
        <v>0.15956829202862946</v>
      </c>
      <c r="AQ58" s="254">
        <f t="shared" si="68"/>
        <v>0.24674563361785948</v>
      </c>
      <c r="AR58" s="254">
        <f t="shared" si="68"/>
        <v>0.25175329632877019</v>
      </c>
      <c r="AS58" s="254">
        <f t="shared" si="68"/>
        <v>0.1914543822490283</v>
      </c>
      <c r="AT58" s="254">
        <f t="shared" si="68"/>
        <v>0.1695432021500477</v>
      </c>
      <c r="AU58" s="254">
        <f t="shared" si="68"/>
        <v>0.18041994297070768</v>
      </c>
      <c r="AV58" s="254">
        <f t="shared" si="68"/>
        <v>0.20403049795515732</v>
      </c>
    </row>
    <row r="59" spans="2:48" x14ac:dyDescent="0.15">
      <c r="B59" s="11" t="s">
        <v>48</v>
      </c>
      <c r="C59" s="248"/>
      <c r="D59" s="248"/>
      <c r="E59" s="263"/>
      <c r="F59" s="248"/>
      <c r="G59" s="248"/>
      <c r="H59" s="248"/>
      <c r="I59" s="263">
        <f t="shared" ref="I59:W59" si="69">+I5/(I53/1000000)</f>
        <v>13.679701006712968</v>
      </c>
      <c r="J59" s="248">
        <f t="shared" si="69"/>
        <v>14.817052918515142</v>
      </c>
      <c r="K59" s="248">
        <f t="shared" si="69"/>
        <v>13.304388491459591</v>
      </c>
      <c r="L59" s="248">
        <f t="shared" si="69"/>
        <v>15.879985298248526</v>
      </c>
      <c r="M59" s="263">
        <f t="shared" si="69"/>
        <v>20.357210030689586</v>
      </c>
      <c r="N59" s="248">
        <f t="shared" si="69"/>
        <v>17.766121055532821</v>
      </c>
      <c r="O59" s="248">
        <f t="shared" si="69"/>
        <v>16.934244120068442</v>
      </c>
      <c r="P59" s="248">
        <f t="shared" si="69"/>
        <v>18.31001902567473</v>
      </c>
      <c r="Q59" s="263">
        <f t="shared" si="69"/>
        <v>21.378111326287328</v>
      </c>
      <c r="R59" s="248">
        <f t="shared" si="69"/>
        <v>18.506079683066083</v>
      </c>
      <c r="S59" s="248">
        <f t="shared" si="69"/>
        <v>17.403357415792353</v>
      </c>
      <c r="T59" s="248">
        <f t="shared" si="69"/>
        <v>18.66350134123153</v>
      </c>
      <c r="U59" s="263">
        <f t="shared" si="69"/>
        <v>20.523915634195014</v>
      </c>
      <c r="V59" s="248">
        <f t="shared" si="69"/>
        <v>15.975187150559837</v>
      </c>
      <c r="W59" s="248">
        <f t="shared" si="69"/>
        <v>16.372286260439392</v>
      </c>
      <c r="X59" s="248">
        <f t="shared" ref="X59:AD59" si="70">+X5/(X53/1000000)</f>
        <v>14.051698136651739</v>
      </c>
      <c r="Y59" s="263">
        <f t="shared" si="70"/>
        <v>16.478386044401383</v>
      </c>
      <c r="Z59" s="248">
        <f t="shared" si="70"/>
        <v>14.221504114847395</v>
      </c>
      <c r="AA59" s="248">
        <f t="shared" si="70"/>
        <v>14.485243898776394</v>
      </c>
      <c r="AB59" s="248">
        <f t="shared" si="70"/>
        <v>14.260404646930185</v>
      </c>
      <c r="AC59" s="263">
        <f t="shared" si="70"/>
        <v>18.335283273761185</v>
      </c>
      <c r="AD59" s="248">
        <f t="shared" si="70"/>
        <v>16.933623331459227</v>
      </c>
      <c r="AE59" s="248">
        <f t="shared" ref="AE59:AG59" si="71">+AE5/(AE53/1000000)</f>
        <v>16.31112543893008</v>
      </c>
      <c r="AF59" s="248">
        <f t="shared" si="71"/>
        <v>19.511583004485114</v>
      </c>
      <c r="AG59" s="263">
        <f t="shared" si="71"/>
        <v>20.102944378334641</v>
      </c>
      <c r="AH59" s="248">
        <f t="shared" ref="AH59:AI59" si="72">+AH5/(AH53/1000000)</f>
        <v>18.293910502221937</v>
      </c>
      <c r="AI59" s="248">
        <f t="shared" si="72"/>
        <v>17.270849158126374</v>
      </c>
      <c r="AJ59" s="248">
        <f t="shared" ref="AJ59:AL59" si="73">+AJ5/(AJ53/1000000)</f>
        <v>18.717559679569774</v>
      </c>
      <c r="AK59" s="263">
        <f t="shared" si="73"/>
        <v>19.597704367141692</v>
      </c>
      <c r="AL59" s="248">
        <f t="shared" si="73"/>
        <v>20.250823161279609</v>
      </c>
      <c r="AN59" s="248">
        <f t="shared" ref="AN59:AS59" si="74">+AN5/(AN53/1000000)</f>
        <v>13.769662881777236</v>
      </c>
      <c r="AO59" s="248">
        <f t="shared" si="74"/>
        <v>14.060117465102694</v>
      </c>
      <c r="AP59" s="248">
        <f t="shared" si="74"/>
        <v>14.416947322217869</v>
      </c>
      <c r="AQ59" s="248">
        <f t="shared" si="74"/>
        <v>18.356381921769842</v>
      </c>
      <c r="AR59" s="248">
        <f t="shared" si="74"/>
        <v>19.124300430682393</v>
      </c>
      <c r="AS59" s="248">
        <f t="shared" si="74"/>
        <v>16.937101838750454</v>
      </c>
      <c r="AT59" s="248">
        <f>+AT5/(AT53/1000000)</f>
        <v>14.954149564314729</v>
      </c>
      <c r="AU59" s="248">
        <f>+AU5/(AU53/1000000)</f>
        <v>17.799662712136787</v>
      </c>
      <c r="AV59" s="248">
        <f>+AV5/(AV53/1000000)</f>
        <v>18.608662198211885</v>
      </c>
    </row>
    <row r="61" spans="2:48"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N61" s="215"/>
      <c r="AO61" s="215"/>
      <c r="AP61" s="215"/>
      <c r="AQ61" s="215"/>
      <c r="AR61" s="215"/>
      <c r="AS61" s="215"/>
      <c r="AT61" s="215"/>
      <c r="AU61" s="215"/>
      <c r="AV61" s="215"/>
    </row>
    <row r="62" spans="2:48"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c r="AL62" s="287"/>
    </row>
    <row r="64" spans="2:48" ht="48" x14ac:dyDescent="0.15">
      <c r="B64" s="242" t="s">
        <v>361</v>
      </c>
      <c r="AG64" s="287"/>
      <c r="AH64" s="287"/>
      <c r="AI64" s="287"/>
      <c r="AJ64" s="287"/>
      <c r="AK64" s="287"/>
      <c r="AL64" s="287"/>
    </row>
    <row r="65" spans="2:2" ht="36" x14ac:dyDescent="0.15">
      <c r="B65" s="242" t="s">
        <v>397</v>
      </c>
    </row>
  </sheetData>
  <pageMargins left="0.7" right="0.7" top="0.75" bottom="0.75" header="0.3" footer="0.3"/>
  <pageSetup paperSize="9" scale="37" orientation="portrait" r:id="rId1"/>
  <ignoredErrors>
    <ignoredError sqref="H34:O34 I30:O31 P31 I33:P33 H32:P32 I58:P58 Q57:X58 AO16:AR17 AP14 AM59:AS59 AO5:AU7 AO18:AS18 AO23:AS25 AO21:AS21 AS26:AS28 AO20:AR20 AS19 AO11 AS9:AS17 AO8:AO9 AS30:AS32 AS34:AS52 Y57:Y59 AS57:AT58 AT9:AT19 AT23:AT28 Z57:AD57 Z59:AD59 AC12 AE12 AU57 AU9:AU17 AE31:AI33 Z58:AI58 AS53:AU54 Q31:AD55 AJ31:AL33 AV5:AV7 AV34:AV59 AV9:AV28 AP55:AU56 AJ58:AL58" formulaRange="1"/>
    <ignoredError sqref="AM8 AM15:AN15 AM14 AM18 AP11:AR11 AM12:AR13 AP9:AR9 AM10:AR10 AP15:AQ15 AQ14 AR14:AR15 AO14:AO15 AM19:AR19 AM57:AR58 AP8:AV8 AS33 AT29 AT30:AU30 AM26:AR54 AM55:AO55 AV29:AV33" formula="1" formulaRange="1"/>
    <ignoredError sqref="AT33:AU33 AU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AY65"/>
  <sheetViews>
    <sheetView showGridLines="0" workbookViewId="0">
      <pane xSplit="2" ySplit="2" topLeftCell="AC3" activePane="bottomRight" state="frozen"/>
      <selection pane="topRight"/>
      <selection pane="bottomLeft"/>
      <selection pane="bottomRight" activeCell="AL2" sqref="AL2"/>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8" width="8.1640625" style="210" customWidth="1"/>
    <col min="39" max="39" width="9.1640625" style="210"/>
    <col min="40" max="40" width="8.6640625" style="210" bestFit="1" customWidth="1"/>
    <col min="41" max="41" width="8.83203125" style="210" bestFit="1" customWidth="1"/>
    <col min="42" max="42" width="8.6640625" style="210" bestFit="1" customWidth="1"/>
    <col min="43" max="43" width="8.83203125" style="210" bestFit="1" customWidth="1"/>
    <col min="44" max="45" width="9.1640625" style="210" bestFit="1" customWidth="1"/>
    <col min="46" max="48" width="9.1640625" style="210"/>
    <col min="49" max="49" width="9.1640625" style="11"/>
    <col min="50" max="51" width="9.1640625" style="294"/>
    <col min="52" max="16384" width="9.1640625" style="11"/>
  </cols>
  <sheetData>
    <row r="2" spans="2:48" x14ac:dyDescent="0.15">
      <c r="B2" s="1" t="s">
        <v>270</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L2" s="277" t="s">
        <v>400</v>
      </c>
      <c r="AN2" s="274">
        <v>2017</v>
      </c>
      <c r="AO2" s="274">
        <v>2018</v>
      </c>
      <c r="AP2" s="274">
        <v>2019</v>
      </c>
      <c r="AQ2" s="274">
        <v>2020</v>
      </c>
      <c r="AR2" s="274">
        <v>2021</v>
      </c>
      <c r="AS2" s="274">
        <v>2022</v>
      </c>
      <c r="AT2" s="274">
        <v>2023</v>
      </c>
      <c r="AU2" s="274">
        <v>2024</v>
      </c>
      <c r="AV2" s="274">
        <v>2025</v>
      </c>
    </row>
    <row r="3" spans="2:48" x14ac:dyDescent="0.15">
      <c r="E3" s="257"/>
      <c r="I3" s="257"/>
      <c r="M3" s="257"/>
      <c r="Q3" s="257"/>
      <c r="U3" s="257"/>
      <c r="Y3" s="257"/>
      <c r="AC3" s="257"/>
      <c r="AG3" s="257"/>
      <c r="AK3" s="257"/>
    </row>
    <row r="4" spans="2:48" x14ac:dyDescent="0.15">
      <c r="B4" s="2" t="s">
        <v>12</v>
      </c>
      <c r="E4" s="257"/>
      <c r="I4" s="257"/>
      <c r="M4" s="257"/>
      <c r="Q4" s="257"/>
      <c r="U4" s="257"/>
      <c r="Y4" s="257"/>
      <c r="AC4" s="257"/>
      <c r="AG4" s="257"/>
      <c r="AK4" s="257"/>
    </row>
    <row r="5" spans="2:48" x14ac:dyDescent="0.15">
      <c r="B5" s="3" t="s">
        <v>1</v>
      </c>
      <c r="C5" s="247"/>
      <c r="D5" s="247"/>
      <c r="E5" s="258"/>
      <c r="F5" s="247"/>
      <c r="G5" s="247"/>
      <c r="H5" s="247"/>
      <c r="I5" s="258">
        <v>20.0412994445695</v>
      </c>
      <c r="J5" s="247">
        <v>27.379945432744009</v>
      </c>
      <c r="K5" s="247">
        <v>27.926486898085543</v>
      </c>
      <c r="L5" s="247">
        <v>30.846623807246761</v>
      </c>
      <c r="M5" s="258">
        <v>64.496144376485589</v>
      </c>
      <c r="N5" s="247">
        <v>75.245804797472744</v>
      </c>
      <c r="O5" s="247">
        <v>71.519051160415415</v>
      </c>
      <c r="P5" s="247">
        <v>93.784760832450957</v>
      </c>
      <c r="Q5" s="258">
        <v>166.18658907856923</v>
      </c>
      <c r="R5" s="247">
        <v>92.457416060228496</v>
      </c>
      <c r="S5" s="247">
        <v>80.179968471295524</v>
      </c>
      <c r="T5" s="247">
        <v>93.726789727514756</v>
      </c>
      <c r="U5" s="258">
        <v>111.21925046934776</v>
      </c>
      <c r="V5" s="247">
        <v>93.790753971207764</v>
      </c>
      <c r="W5" s="247">
        <v>90.460380472664255</v>
      </c>
      <c r="X5" s="247">
        <v>76.179439579780492</v>
      </c>
      <c r="Y5" s="258">
        <v>96.954112759888673</v>
      </c>
      <c r="Z5" s="247">
        <v>58.861911188974766</v>
      </c>
      <c r="AA5" s="247">
        <v>69.481428136380273</v>
      </c>
      <c r="AB5" s="247">
        <v>68.710618489400261</v>
      </c>
      <c r="AC5" s="258">
        <v>82.923441257915982</v>
      </c>
      <c r="AD5" s="247">
        <v>82.640973431867323</v>
      </c>
      <c r="AE5" s="247">
        <v>77.55579042847252</v>
      </c>
      <c r="AF5" s="247">
        <v>98.757422440985721</v>
      </c>
      <c r="AG5" s="258">
        <v>130.06049480730749</v>
      </c>
      <c r="AH5" s="247">
        <v>115.56583331800032</v>
      </c>
      <c r="AI5" s="247">
        <v>130.71934730838436</v>
      </c>
      <c r="AJ5" s="247">
        <v>140.90766076615245</v>
      </c>
      <c r="AK5" s="258">
        <v>178.4637329684825</v>
      </c>
      <c r="AL5" s="247">
        <v>177.79379671835787</v>
      </c>
      <c r="AN5" s="247">
        <v>92.712324363312575</v>
      </c>
      <c r="AO5" s="247">
        <v>86.233997932246297</v>
      </c>
      <c r="AP5" s="247">
        <f t="shared" ref="AP5:AP11" si="0">SUM(I5:L5)</f>
        <v>106.19435558264581</v>
      </c>
      <c r="AQ5" s="247">
        <f t="shared" ref="AQ5:AQ11" si="1">SUM(M5:P5)</f>
        <v>305.04576116682472</v>
      </c>
      <c r="AR5" s="247">
        <f>SUM(Q5:T5)</f>
        <v>432.55076333760803</v>
      </c>
      <c r="AS5" s="247">
        <f>SUM(U5:X5)</f>
        <v>371.64982449300027</v>
      </c>
      <c r="AT5" s="247">
        <f>SUM(Y5:AB5)</f>
        <v>294.00807057464397</v>
      </c>
      <c r="AU5" s="247">
        <f>SUM(AC5:AF5)</f>
        <v>341.87762755924155</v>
      </c>
      <c r="AV5" s="247">
        <f>SUM(AG5:AJ5)</f>
        <v>517.25333619984463</v>
      </c>
    </row>
    <row r="6" spans="2:48" x14ac:dyDescent="0.15">
      <c r="B6" s="4" t="s">
        <v>345</v>
      </c>
      <c r="C6" s="247"/>
      <c r="D6" s="247"/>
      <c r="E6" s="258"/>
      <c r="F6" s="247"/>
      <c r="G6" s="247"/>
      <c r="H6" s="247"/>
      <c r="I6" s="258">
        <v>12.772996925409977</v>
      </c>
      <c r="J6" s="247">
        <v>13.984707009363998</v>
      </c>
      <c r="K6" s="247">
        <v>12.384255169270947</v>
      </c>
      <c r="L6" s="247">
        <v>15.74873289787342</v>
      </c>
      <c r="M6" s="258">
        <v>18.495567613928451</v>
      </c>
      <c r="N6" s="247">
        <v>16.137916440425776</v>
      </c>
      <c r="O6" s="247">
        <v>16.783059470566542</v>
      </c>
      <c r="P6" s="247">
        <v>19.498973860337692</v>
      </c>
      <c r="Q6" s="258">
        <v>27.384923326926</v>
      </c>
      <c r="R6" s="247">
        <v>27.269114951790012</v>
      </c>
      <c r="S6" s="247">
        <v>27.742513102455003</v>
      </c>
      <c r="T6" s="247">
        <v>32.141277056627992</v>
      </c>
      <c r="U6" s="258">
        <v>29.465691382168991</v>
      </c>
      <c r="V6" s="247">
        <v>23.867943227722893</v>
      </c>
      <c r="W6" s="247">
        <v>22.275201006210999</v>
      </c>
      <c r="X6" s="247">
        <v>19.978106683352998</v>
      </c>
      <c r="Y6" s="258">
        <v>24.679450097707001</v>
      </c>
      <c r="Z6" s="247">
        <v>24.399819130199997</v>
      </c>
      <c r="AA6" s="247">
        <v>26.609941021400001</v>
      </c>
      <c r="AB6" s="247">
        <v>27.115156092021994</v>
      </c>
      <c r="AC6" s="258">
        <v>31.070484143033269</v>
      </c>
      <c r="AD6" s="247">
        <v>37.473564977706332</v>
      </c>
      <c r="AE6" s="247">
        <v>41.777685018768089</v>
      </c>
      <c r="AF6" s="247">
        <v>46.534970502163802</v>
      </c>
      <c r="AG6" s="258">
        <v>49.325726545428367</v>
      </c>
      <c r="AH6" s="247">
        <v>44.351899819057742</v>
      </c>
      <c r="AI6" s="247">
        <v>51.13474776939703</v>
      </c>
      <c r="AJ6" s="247">
        <v>57.328065597305773</v>
      </c>
      <c r="AK6" s="258">
        <v>64.961950885885685</v>
      </c>
      <c r="AL6" s="247">
        <v>66.66425070976041</v>
      </c>
      <c r="AN6" s="247">
        <v>36.624838806016257</v>
      </c>
      <c r="AO6" s="247">
        <v>51.294348815588883</v>
      </c>
      <c r="AP6" s="247">
        <f t="shared" si="0"/>
        <v>54.890692001918339</v>
      </c>
      <c r="AQ6" s="247">
        <f t="shared" si="1"/>
        <v>70.915517385258454</v>
      </c>
      <c r="AR6" s="247">
        <f>SUM(Q6:T6)</f>
        <v>114.53782843779902</v>
      </c>
      <c r="AS6" s="247">
        <f>SUM(U6:X6)</f>
        <v>95.58694229945587</v>
      </c>
      <c r="AT6" s="247">
        <f>SUM(Y6:AB6)</f>
        <v>102.80436634132899</v>
      </c>
      <c r="AU6" s="247">
        <f>SUM(AC6:AF6)</f>
        <v>156.85670464167151</v>
      </c>
      <c r="AV6" s="247">
        <f>SUM(AG6:AJ6)</f>
        <v>202.14043973118891</v>
      </c>
    </row>
    <row r="7" spans="2:48" x14ac:dyDescent="0.15">
      <c r="B7" s="4" t="s">
        <v>344</v>
      </c>
      <c r="C7" s="247"/>
      <c r="D7" s="247"/>
      <c r="E7" s="258"/>
      <c r="F7" s="247"/>
      <c r="G7" s="247"/>
      <c r="H7" s="247"/>
      <c r="I7" s="258">
        <v>1.0434198421550036</v>
      </c>
      <c r="J7" s="247">
        <v>0.77975535082599734</v>
      </c>
      <c r="K7" s="247">
        <v>1.0673092475069978</v>
      </c>
      <c r="L7" s="247">
        <v>2.2232485808531628</v>
      </c>
      <c r="M7" s="258">
        <v>1.3946091616017142</v>
      </c>
      <c r="N7" s="247">
        <v>1.8635850578502193</v>
      </c>
      <c r="O7" s="247">
        <v>2.3719991455609346</v>
      </c>
      <c r="P7" s="247">
        <v>1.3784872965182018</v>
      </c>
      <c r="Q7" s="258">
        <v>1.8827088313944138</v>
      </c>
      <c r="R7" s="247">
        <v>5.1145733804697038</v>
      </c>
      <c r="S7" s="247">
        <v>3.677075859609694</v>
      </c>
      <c r="T7" s="247">
        <v>4.3894802879640409</v>
      </c>
      <c r="U7" s="258">
        <v>3.4009563997617249</v>
      </c>
      <c r="V7" s="247">
        <v>1.4176976357692814</v>
      </c>
      <c r="W7" s="247">
        <v>2.1482282695837656</v>
      </c>
      <c r="X7" s="247">
        <v>1.921558286723245</v>
      </c>
      <c r="Y7" s="258">
        <v>1.6685325345572419</v>
      </c>
      <c r="Z7" s="247">
        <v>1.3471592888270021</v>
      </c>
      <c r="AA7" s="247">
        <v>1.0266957072705105</v>
      </c>
      <c r="AB7" s="247">
        <v>2.1278427923502474</v>
      </c>
      <c r="AC7" s="258">
        <v>2.8538386280234904E-2</v>
      </c>
      <c r="AD7" s="247">
        <v>1.2681910625661574</v>
      </c>
      <c r="AE7" s="247">
        <v>-1.8897684071508274</v>
      </c>
      <c r="AF7" s="247">
        <v>-0.83288246666469423</v>
      </c>
      <c r="AG7" s="258">
        <v>-0.91948707865881918</v>
      </c>
      <c r="AH7" s="247">
        <v>-0.55273582775373009</v>
      </c>
      <c r="AI7" s="247">
        <v>1.1727204753550515</v>
      </c>
      <c r="AJ7" s="247">
        <v>1.1592535697828383</v>
      </c>
      <c r="AK7" s="258">
        <v>-4.5236793574608865E-2</v>
      </c>
      <c r="AL7" s="247">
        <v>-1.0250790679758564</v>
      </c>
      <c r="AN7" s="247">
        <v>3.1423230314543318</v>
      </c>
      <c r="AO7" s="247">
        <v>8.230351260261159</v>
      </c>
      <c r="AP7" s="247">
        <f>SUM(I7:L7)</f>
        <v>5.1137330213411616</v>
      </c>
      <c r="AQ7" s="247">
        <f>SUM(M7:P7)</f>
        <v>7.0086806615310699</v>
      </c>
      <c r="AR7" s="247">
        <f>SUM(Q7:T7)</f>
        <v>15.063838359437852</v>
      </c>
      <c r="AS7" s="247">
        <f>SUM(U7:X7)</f>
        <v>8.888440591838016</v>
      </c>
      <c r="AT7" s="247">
        <f>SUM(Y7:AB7)</f>
        <v>6.1702303230050024</v>
      </c>
      <c r="AU7" s="247">
        <f>SUM(AC7:AF7)</f>
        <v>-1.4259214249691294</v>
      </c>
      <c r="AV7" s="247">
        <f>SUM(AG7:AJ7)</f>
        <v>0.85975113872534048</v>
      </c>
    </row>
    <row r="8" spans="2:48" s="12" customFormat="1" x14ac:dyDescent="0.15">
      <c r="B8" s="5" t="s">
        <v>138</v>
      </c>
      <c r="C8" s="249"/>
      <c r="D8" s="249"/>
      <c r="E8" s="259"/>
      <c r="F8" s="249"/>
      <c r="G8" s="249"/>
      <c r="H8" s="249"/>
      <c r="I8" s="259">
        <f t="shared" ref="I8:X8" si="2">SUM(I5:I7)</f>
        <v>33.857716212134477</v>
      </c>
      <c r="J8" s="249">
        <f t="shared" si="2"/>
        <v>42.144407792934004</v>
      </c>
      <c r="K8" s="249">
        <f t="shared" si="2"/>
        <v>41.378051314863484</v>
      </c>
      <c r="L8" s="249">
        <f t="shared" si="2"/>
        <v>48.818605285973348</v>
      </c>
      <c r="M8" s="259">
        <f t="shared" si="2"/>
        <v>84.386321152015768</v>
      </c>
      <c r="N8" s="249">
        <f t="shared" si="2"/>
        <v>93.247306295748743</v>
      </c>
      <c r="O8" s="249">
        <f t="shared" si="2"/>
        <v>90.674109776542892</v>
      </c>
      <c r="P8" s="249">
        <f t="shared" si="2"/>
        <v>114.66222198930684</v>
      </c>
      <c r="Q8" s="259">
        <f t="shared" si="2"/>
        <v>195.45422123688965</v>
      </c>
      <c r="R8" s="249">
        <f t="shared" si="2"/>
        <v>124.84110439248822</v>
      </c>
      <c r="S8" s="249">
        <f t="shared" si="2"/>
        <v>111.59955743336022</v>
      </c>
      <c r="T8" s="249">
        <f t="shared" si="2"/>
        <v>130.25754707210677</v>
      </c>
      <c r="U8" s="259">
        <f t="shared" si="2"/>
        <v>144.08589825127848</v>
      </c>
      <c r="V8" s="249">
        <f t="shared" si="2"/>
        <v>119.07639483469994</v>
      </c>
      <c r="W8" s="249">
        <f t="shared" si="2"/>
        <v>114.88380974845902</v>
      </c>
      <c r="X8" s="249">
        <f t="shared" si="2"/>
        <v>98.079104549856737</v>
      </c>
      <c r="Y8" s="259">
        <f>SUM(Y5:Y7)</f>
        <v>123.30209539215292</v>
      </c>
      <c r="Z8" s="249">
        <f>SUM(Z5:Z7)</f>
        <v>84.608889608001761</v>
      </c>
      <c r="AA8" s="249">
        <f>SUM(AA5:AA7)</f>
        <v>97.118064865050783</v>
      </c>
      <c r="AB8" s="249">
        <f>SUM(AB5:AB7)</f>
        <v>97.953617373772502</v>
      </c>
      <c r="AC8" s="259">
        <v>114.02246378722948</v>
      </c>
      <c r="AD8" s="249">
        <f t="shared" ref="AD8:AG8" si="3">SUM(AD5:AD7)</f>
        <v>121.38272947213981</v>
      </c>
      <c r="AE8" s="249">
        <f t="shared" si="3"/>
        <v>117.44370704008978</v>
      </c>
      <c r="AF8" s="249">
        <f t="shared" si="3"/>
        <v>144.45951047648484</v>
      </c>
      <c r="AG8" s="259">
        <f t="shared" si="3"/>
        <v>178.46673427407703</v>
      </c>
      <c r="AH8" s="249">
        <f t="shared" ref="AH8:AL8" si="4">SUM(AH5:AH7)</f>
        <v>159.36499730930433</v>
      </c>
      <c r="AI8" s="249">
        <f t="shared" si="4"/>
        <v>183.02681555313643</v>
      </c>
      <c r="AJ8" s="249">
        <f t="shared" si="4"/>
        <v>199.39497993324105</v>
      </c>
      <c r="AK8" s="259">
        <f t="shared" si="4"/>
        <v>243.38044706079356</v>
      </c>
      <c r="AL8" s="249">
        <f t="shared" si="4"/>
        <v>243.43296836014241</v>
      </c>
      <c r="AM8" s="211"/>
      <c r="AN8" s="249">
        <f t="shared" ref="AN8:AS8" si="5">SUM(AN5:AN7)</f>
        <v>132.47948620078319</v>
      </c>
      <c r="AO8" s="249">
        <f t="shared" si="5"/>
        <v>145.75869800809633</v>
      </c>
      <c r="AP8" s="249">
        <f t="shared" si="5"/>
        <v>166.19878060590531</v>
      </c>
      <c r="AQ8" s="249">
        <f t="shared" si="5"/>
        <v>382.96995921361423</v>
      </c>
      <c r="AR8" s="249">
        <f t="shared" si="5"/>
        <v>562.15243013484496</v>
      </c>
      <c r="AS8" s="249">
        <f t="shared" si="5"/>
        <v>476.12520738429413</v>
      </c>
      <c r="AT8" s="249">
        <f>SUM(AT5:AT7)</f>
        <v>402.98266723897797</v>
      </c>
      <c r="AU8" s="249">
        <f>SUM(AU5:AU7)</f>
        <v>497.30841077594391</v>
      </c>
      <c r="AV8" s="249">
        <f>SUM(AV5:AV7)</f>
        <v>720.25352706975889</v>
      </c>
    </row>
    <row r="9" spans="2:48" x14ac:dyDescent="0.15">
      <c r="B9" s="6" t="s">
        <v>2</v>
      </c>
      <c r="C9" s="247"/>
      <c r="D9" s="247"/>
      <c r="E9" s="258"/>
      <c r="F9" s="247"/>
      <c r="G9" s="247"/>
      <c r="H9" s="247"/>
      <c r="I9" s="258">
        <v>17.173109206327002</v>
      </c>
      <c r="J9" s="247">
        <v>35.267028136389008</v>
      </c>
      <c r="K9" s="247">
        <v>33.521268572191005</v>
      </c>
      <c r="L9" s="247">
        <v>36.441922321076007</v>
      </c>
      <c r="M9" s="258">
        <v>42.476051853027492</v>
      </c>
      <c r="N9" s="247">
        <v>41.919121887131233</v>
      </c>
      <c r="O9" s="247">
        <v>28.313126864852997</v>
      </c>
      <c r="P9" s="247">
        <v>30.745730888251995</v>
      </c>
      <c r="Q9" s="258">
        <v>40.281494304275746</v>
      </c>
      <c r="R9" s="247">
        <v>41.386706834100316</v>
      </c>
      <c r="S9" s="247">
        <v>41.485067602986241</v>
      </c>
      <c r="T9" s="247">
        <v>48.218620331695753</v>
      </c>
      <c r="U9" s="258">
        <v>62.890531075836492</v>
      </c>
      <c r="V9" s="247">
        <v>81.555224285499961</v>
      </c>
      <c r="W9" s="247">
        <v>97.395738989609796</v>
      </c>
      <c r="X9" s="247">
        <v>129.51051861154275</v>
      </c>
      <c r="Y9" s="258">
        <v>128.98593841891474</v>
      </c>
      <c r="Z9" s="247">
        <v>127.48401566636099</v>
      </c>
      <c r="AA9" s="247">
        <v>145.47390086247106</v>
      </c>
      <c r="AB9" s="247">
        <v>144.04783643274476</v>
      </c>
      <c r="AC9" s="258">
        <v>134.52409192765617</v>
      </c>
      <c r="AD9" s="247">
        <v>142.56616940857708</v>
      </c>
      <c r="AE9" s="247">
        <v>137.78537326915503</v>
      </c>
      <c r="AF9" s="247">
        <v>148.21079857531691</v>
      </c>
      <c r="AG9" s="258">
        <v>147.74958402716777</v>
      </c>
      <c r="AH9" s="247">
        <v>165.00707444737498</v>
      </c>
      <c r="AI9" s="247">
        <v>160.41331054347538</v>
      </c>
      <c r="AJ9" s="247">
        <v>156.53458562165383</v>
      </c>
      <c r="AK9" s="258">
        <v>172.53686002550819</v>
      </c>
      <c r="AL9" s="247">
        <v>215.94838560080669</v>
      </c>
      <c r="AN9" s="247">
        <v>49.8508832607871</v>
      </c>
      <c r="AO9" s="247">
        <v>63.867724941991995</v>
      </c>
      <c r="AP9" s="247">
        <f t="shared" si="0"/>
        <v>122.40332823598303</v>
      </c>
      <c r="AQ9" s="247">
        <f t="shared" si="1"/>
        <v>143.4540314932637</v>
      </c>
      <c r="AR9" s="247">
        <f>SUM(Q9:T9)</f>
        <v>171.37188907305804</v>
      </c>
      <c r="AS9" s="247">
        <f>SUM(U9:X9)</f>
        <v>371.35201296248903</v>
      </c>
      <c r="AT9" s="247">
        <f>SUM(Y9:AB9)</f>
        <v>545.9916913804916</v>
      </c>
      <c r="AU9" s="247">
        <f>SUM(AC9:AF9)</f>
        <v>563.08643318070517</v>
      </c>
      <c r="AV9" s="247">
        <f>SUM(AG9:AJ9)</f>
        <v>629.70455463967198</v>
      </c>
    </row>
    <row r="10" spans="2:48" x14ac:dyDescent="0.15">
      <c r="B10" s="6" t="s">
        <v>3</v>
      </c>
      <c r="C10" s="247"/>
      <c r="D10" s="247"/>
      <c r="E10" s="258"/>
      <c r="F10" s="247"/>
      <c r="G10" s="247"/>
      <c r="H10" s="247"/>
      <c r="I10" s="258">
        <f>16.731277345231-I20</f>
        <v>0.28777734523099952</v>
      </c>
      <c r="J10" s="247">
        <v>0.48711960607599653</v>
      </c>
      <c r="K10" s="247">
        <v>-1.9583584684439972</v>
      </c>
      <c r="L10" s="247">
        <v>0.15978364626483246</v>
      </c>
      <c r="M10" s="258">
        <v>-3.6835971674019059</v>
      </c>
      <c r="N10" s="247">
        <v>-4.6644072468560192E-2</v>
      </c>
      <c r="O10" s="247">
        <v>0.42277158829683065</v>
      </c>
      <c r="P10" s="247">
        <v>-1.4476626352574975</v>
      </c>
      <c r="Q10" s="258">
        <v>0.97257160872551796</v>
      </c>
      <c r="R10" s="247">
        <v>1.8896404547773376</v>
      </c>
      <c r="S10" s="247">
        <v>-2.4284491001085042</v>
      </c>
      <c r="T10" s="247">
        <v>1.3433680523599982</v>
      </c>
      <c r="U10" s="258">
        <v>-3.5660867925748227E-2</v>
      </c>
      <c r="V10" s="247">
        <v>0.73022545901949842</v>
      </c>
      <c r="W10" s="247">
        <v>0.83212090296600272</v>
      </c>
      <c r="X10" s="247">
        <v>0.75130512018850171</v>
      </c>
      <c r="Y10" s="258">
        <v>-0.18205027063225257</v>
      </c>
      <c r="Z10" s="247">
        <v>-0.62947864050949753</v>
      </c>
      <c r="AA10" s="247">
        <v>-0.41727424332200019</v>
      </c>
      <c r="AB10" s="247">
        <v>-0.55720577422600193</v>
      </c>
      <c r="AC10" s="258">
        <v>0.59337949735152418</v>
      </c>
      <c r="AD10" s="247">
        <v>-0.26515391263271809</v>
      </c>
      <c r="AE10" s="247">
        <v>-0.19369816469738993</v>
      </c>
      <c r="AF10" s="247">
        <v>-5.0637624412500459</v>
      </c>
      <c r="AG10" s="258">
        <v>1.6214355244692606</v>
      </c>
      <c r="AH10" s="247">
        <v>-1.7400615799674071</v>
      </c>
      <c r="AI10" s="247">
        <v>-0.73340935287367159</v>
      </c>
      <c r="AJ10" s="247">
        <v>-0.25441283732551562</v>
      </c>
      <c r="AK10" s="258">
        <v>-1.7133894456161967</v>
      </c>
      <c r="AL10" s="247">
        <v>0.14614562496825065</v>
      </c>
      <c r="AN10" s="247">
        <v>-0.1723469327434177</v>
      </c>
      <c r="AO10" s="247">
        <v>0.58205416347848582</v>
      </c>
      <c r="AP10" s="247">
        <f t="shared" si="0"/>
        <v>-1.0236778708721685</v>
      </c>
      <c r="AQ10" s="247">
        <f t="shared" si="1"/>
        <v>-4.7551322868311328</v>
      </c>
      <c r="AR10" s="247">
        <f>SUM(Q10:T10)</f>
        <v>1.7771310157543494</v>
      </c>
      <c r="AS10" s="247">
        <f>SUM(U10:X10)</f>
        <v>2.2779906142482549</v>
      </c>
      <c r="AT10" s="247">
        <f>SUM(Y10:AB10)</f>
        <v>-1.7860089286897523</v>
      </c>
      <c r="AU10" s="247">
        <f>SUM(AC10:AF10)</f>
        <v>-4.9292350212286298</v>
      </c>
      <c r="AV10" s="247">
        <f>SUM(AG10:AJ10)</f>
        <v>-1.1064482456973337</v>
      </c>
    </row>
    <row r="11" spans="2:48" x14ac:dyDescent="0.15">
      <c r="B11" s="6" t="s">
        <v>4</v>
      </c>
      <c r="C11" s="247"/>
      <c r="D11" s="247"/>
      <c r="E11" s="258"/>
      <c r="F11" s="247"/>
      <c r="G11" s="247"/>
      <c r="H11" s="247"/>
      <c r="I11" s="258">
        <v>1.9587973136909729</v>
      </c>
      <c r="J11" s="247">
        <v>1.8023184453181171</v>
      </c>
      <c r="K11" s="247">
        <v>2.4787734895909304</v>
      </c>
      <c r="L11" s="247">
        <v>1.9771447946643352</v>
      </c>
      <c r="M11" s="258">
        <v>1.321351481203265</v>
      </c>
      <c r="N11" s="247">
        <v>1.612928129386801</v>
      </c>
      <c r="O11" s="247">
        <v>-6.5614424813671599</v>
      </c>
      <c r="P11" s="247">
        <v>3.547759486254372</v>
      </c>
      <c r="Q11" s="258">
        <v>1.4093742132717231</v>
      </c>
      <c r="R11" s="247">
        <v>6.4464157251826633</v>
      </c>
      <c r="S11" s="247">
        <v>2.4570033632964012</v>
      </c>
      <c r="T11" s="247">
        <v>5.1731529414933224</v>
      </c>
      <c r="U11" s="258">
        <v>8.5501975163495665</v>
      </c>
      <c r="V11" s="247">
        <v>1.9166935386955868</v>
      </c>
      <c r="W11" s="247">
        <v>1.6411408419529814</v>
      </c>
      <c r="X11" s="247">
        <v>2.3603339933142333</v>
      </c>
      <c r="Y11" s="258">
        <v>2.4086801030731655</v>
      </c>
      <c r="Z11" s="247">
        <v>1.0382646802000797</v>
      </c>
      <c r="AA11" s="247">
        <v>1.1885229457395619</v>
      </c>
      <c r="AB11" s="247">
        <v>2.5975111155553199</v>
      </c>
      <c r="AC11" s="258">
        <v>1.4492805777007358</v>
      </c>
      <c r="AD11" s="247">
        <v>2.0524089859479688</v>
      </c>
      <c r="AE11" s="247">
        <v>0.50481764456187039</v>
      </c>
      <c r="AF11" s="247">
        <v>2.36535505988128</v>
      </c>
      <c r="AG11" s="258">
        <v>1.2549796193745582</v>
      </c>
      <c r="AH11" s="247">
        <v>2.8066929882239164</v>
      </c>
      <c r="AI11" s="247">
        <v>1.380933291695178</v>
      </c>
      <c r="AJ11" s="247">
        <v>1.5035385543269053</v>
      </c>
      <c r="AK11" s="258">
        <v>4.0105416520083157</v>
      </c>
      <c r="AL11" s="247">
        <v>3.7643630796669232</v>
      </c>
      <c r="AN11" s="247">
        <v>6.3503957071058812</v>
      </c>
      <c r="AO11" s="247">
        <v>6.2164913296234747</v>
      </c>
      <c r="AP11" s="247">
        <f t="shared" si="0"/>
        <v>8.2170340432643556</v>
      </c>
      <c r="AQ11" s="247">
        <f t="shared" si="1"/>
        <v>-7.940338452272222E-2</v>
      </c>
      <c r="AR11" s="247">
        <f>SUM(Q11:T11)</f>
        <v>15.48594624324411</v>
      </c>
      <c r="AS11" s="247">
        <f>SUM(U11:X11)</f>
        <v>14.468365890312368</v>
      </c>
      <c r="AT11" s="247">
        <f>SUM(Y11:AB11)</f>
        <v>7.2329788445681267</v>
      </c>
      <c r="AU11" s="247">
        <f>SUM(AC11:AF11)</f>
        <v>6.3718622680918546</v>
      </c>
      <c r="AV11" s="247">
        <f>SUM(AG11:AJ11)</f>
        <v>6.9461444536205574</v>
      </c>
    </row>
    <row r="12" spans="2:48" x14ac:dyDescent="0.15">
      <c r="B12" s="243" t="s">
        <v>172</v>
      </c>
      <c r="C12" s="249"/>
      <c r="D12" s="249"/>
      <c r="E12" s="259">
        <v>50.377390187835694</v>
      </c>
      <c r="F12" s="249">
        <v>52.634239132749954</v>
      </c>
      <c r="G12" s="249">
        <v>49.158236040920627</v>
      </c>
      <c r="H12" s="249">
        <v>60.495151081684021</v>
      </c>
      <c r="I12" s="259">
        <f>SUM(I8:I11)</f>
        <v>53.277400077383447</v>
      </c>
      <c r="J12" s="249">
        <f t="shared" ref="J12:W12" si="6">SUM(J8:J11)</f>
        <v>79.70087398071712</v>
      </c>
      <c r="K12" s="249">
        <f t="shared" si="6"/>
        <v>75.41973490820142</v>
      </c>
      <c r="L12" s="249">
        <f t="shared" si="6"/>
        <v>87.397456047978523</v>
      </c>
      <c r="M12" s="259">
        <f t="shared" si="6"/>
        <v>124.50012731884462</v>
      </c>
      <c r="N12" s="249">
        <f t="shared" si="6"/>
        <v>136.73271223979822</v>
      </c>
      <c r="O12" s="249">
        <f t="shared" si="6"/>
        <v>112.84856574832556</v>
      </c>
      <c r="P12" s="249">
        <f t="shared" si="6"/>
        <v>147.5080497285557</v>
      </c>
      <c r="Q12" s="259">
        <f t="shared" si="6"/>
        <v>238.11766136316265</v>
      </c>
      <c r="R12" s="249">
        <f t="shared" si="6"/>
        <v>174.56386740654855</v>
      </c>
      <c r="S12" s="249">
        <f t="shared" si="6"/>
        <v>153.11317929953435</v>
      </c>
      <c r="T12" s="249">
        <f t="shared" si="6"/>
        <v>184.99268839765585</v>
      </c>
      <c r="U12" s="259">
        <f t="shared" si="6"/>
        <v>215.49096597553878</v>
      </c>
      <c r="V12" s="249">
        <f t="shared" si="6"/>
        <v>203.27853811791499</v>
      </c>
      <c r="W12" s="249">
        <f t="shared" si="6"/>
        <v>214.7528104829878</v>
      </c>
      <c r="X12" s="249">
        <f t="shared" ref="X12:AL12" si="7">SUM(X8:X11)</f>
        <v>230.70126227490223</v>
      </c>
      <c r="Y12" s="259">
        <f t="shared" si="7"/>
        <v>254.51466364350856</v>
      </c>
      <c r="Z12" s="249">
        <f t="shared" si="7"/>
        <v>212.50169131405335</v>
      </c>
      <c r="AA12" s="249">
        <f t="shared" si="7"/>
        <v>243.36321442993938</v>
      </c>
      <c r="AB12" s="249">
        <f t="shared" si="7"/>
        <v>244.04175914784656</v>
      </c>
      <c r="AC12" s="259">
        <f t="shared" si="7"/>
        <v>250.5892157899379</v>
      </c>
      <c r="AD12" s="249">
        <f t="shared" si="7"/>
        <v>265.73615395403215</v>
      </c>
      <c r="AE12" s="249">
        <f t="shared" si="7"/>
        <v>255.54019978910929</v>
      </c>
      <c r="AF12" s="249">
        <f t="shared" si="7"/>
        <v>289.97190167043294</v>
      </c>
      <c r="AG12" s="259">
        <f t="shared" si="7"/>
        <v>329.09273344508858</v>
      </c>
      <c r="AH12" s="249">
        <f t="shared" si="7"/>
        <v>325.43870316493582</v>
      </c>
      <c r="AI12" s="249">
        <f t="shared" si="7"/>
        <v>344.08765003543334</v>
      </c>
      <c r="AJ12" s="249">
        <f t="shared" si="7"/>
        <v>357.1786912718963</v>
      </c>
      <c r="AK12" s="259">
        <f t="shared" si="7"/>
        <v>418.2144592926939</v>
      </c>
      <c r="AL12" s="249">
        <f t="shared" si="7"/>
        <v>463.29186266558429</v>
      </c>
      <c r="AN12" s="249">
        <f t="shared" ref="AN12:AT12" si="8">SUM(AN8:AN11)</f>
        <v>188.50841823593277</v>
      </c>
      <c r="AO12" s="249">
        <f t="shared" si="8"/>
        <v>216.42496844319029</v>
      </c>
      <c r="AP12" s="249">
        <f t="shared" si="8"/>
        <v>295.79546501428052</v>
      </c>
      <c r="AQ12" s="249">
        <f t="shared" si="8"/>
        <v>521.58945503552411</v>
      </c>
      <c r="AR12" s="249">
        <f t="shared" si="8"/>
        <v>750.78739646690144</v>
      </c>
      <c r="AS12" s="249">
        <f t="shared" si="8"/>
        <v>864.22357685134375</v>
      </c>
      <c r="AT12" s="249">
        <f t="shared" si="8"/>
        <v>954.42132853534793</v>
      </c>
      <c r="AU12" s="249">
        <f t="shared" ref="AU12" si="9">SUM(AU8:AU11)</f>
        <v>1061.8374712035125</v>
      </c>
      <c r="AV12" s="249">
        <f t="shared" ref="AV12" si="10">SUM(AV8:AV11)</f>
        <v>1355.7977779173541</v>
      </c>
    </row>
    <row r="13" spans="2:48" x14ac:dyDescent="0.15">
      <c r="B13" s="7"/>
      <c r="E13" s="257"/>
      <c r="I13" s="257"/>
      <c r="M13" s="257"/>
      <c r="Q13" s="257"/>
      <c r="U13" s="257"/>
      <c r="Y13" s="257"/>
      <c r="AC13" s="257"/>
      <c r="AG13" s="257"/>
      <c r="AK13" s="257"/>
    </row>
    <row r="14" spans="2:48" x14ac:dyDescent="0.15">
      <c r="B14" s="2" t="s">
        <v>290</v>
      </c>
      <c r="C14" s="249"/>
      <c r="D14" s="249"/>
      <c r="E14" s="259"/>
      <c r="F14" s="249"/>
      <c r="G14" s="249"/>
      <c r="H14" s="249"/>
      <c r="I14" s="259">
        <f>-53.2251098571743-I21</f>
        <v>-47.047109857174306</v>
      </c>
      <c r="J14" s="249">
        <f>-63.1757617302487-J21</f>
        <v>-55.479761730248704</v>
      </c>
      <c r="K14" s="249">
        <f>-63.45223024584-K21</f>
        <v>-61.35123024584</v>
      </c>
      <c r="L14" s="249">
        <f>-97.358640439544-L21</f>
        <v>-70.677640439544007</v>
      </c>
      <c r="M14" s="259">
        <v>-55.768437610168213</v>
      </c>
      <c r="N14" s="249">
        <f>-57.0800904993712-N21</f>
        <v>-54.330090499371202</v>
      </c>
      <c r="O14" s="249">
        <f>-58.8520305393455-O21</f>
        <v>-54.1170305393455</v>
      </c>
      <c r="P14" s="249">
        <f>-88.0738587509975-P21</f>
        <v>-63.231358750997501</v>
      </c>
      <c r="Q14" s="259">
        <v>-62.034470448506582</v>
      </c>
      <c r="R14" s="249">
        <v>-59.144723240258905</v>
      </c>
      <c r="S14" s="249">
        <v>-58.059114754942904</v>
      </c>
      <c r="T14" s="249">
        <v>-64.046028036708591</v>
      </c>
      <c r="U14" s="259">
        <f>-63.6326721237623-U21</f>
        <v>-63.156672123762299</v>
      </c>
      <c r="V14" s="249">
        <v>-64.085663604807493</v>
      </c>
      <c r="W14" s="249">
        <v>-67.283956490526464</v>
      </c>
      <c r="X14" s="249">
        <v>-73.586932848070205</v>
      </c>
      <c r="Y14" s="259">
        <v>-72.484935596380055</v>
      </c>
      <c r="Z14" s="249">
        <v>-74.009985373118383</v>
      </c>
      <c r="AA14" s="249">
        <v>-79.595128164706949</v>
      </c>
      <c r="AB14" s="249">
        <v>-83.262598774379342</v>
      </c>
      <c r="AC14" s="259">
        <v>-81.048880993046723</v>
      </c>
      <c r="AD14" s="249">
        <v>-76.9500454601488</v>
      </c>
      <c r="AE14" s="249">
        <v>-88.612835949464255</v>
      </c>
      <c r="AF14" s="249">
        <v>-94.195562605937695</v>
      </c>
      <c r="AG14" s="259">
        <v>-98.18209652032894</v>
      </c>
      <c r="AH14" s="249">
        <v>-92.360535621284129</v>
      </c>
      <c r="AI14" s="249">
        <v>-97.187749267435848</v>
      </c>
      <c r="AJ14" s="249">
        <v>-96.749631850705654</v>
      </c>
      <c r="AK14" s="259">
        <v>-106.59431490354396</v>
      </c>
      <c r="AL14" s="249">
        <v>-102.79194802698125</v>
      </c>
      <c r="AN14" s="249">
        <f>-170.552456535551-AN21</f>
        <v>-159.30245653555099</v>
      </c>
      <c r="AO14" s="249">
        <f>-202.274797020156-AO21</f>
        <v>-186.374797020156</v>
      </c>
      <c r="AP14" s="249">
        <f>SUM(I14:L14)</f>
        <v>-234.55574227280704</v>
      </c>
      <c r="AQ14" s="249">
        <f>SUM(M14:P14)</f>
        <v>-227.44691739988241</v>
      </c>
      <c r="AR14" s="249">
        <f>SUM(Q14:T14)</f>
        <v>-243.28433648041698</v>
      </c>
      <c r="AS14" s="249">
        <f>SUM(U14:X14)</f>
        <v>-268.11322506716647</v>
      </c>
      <c r="AT14" s="249">
        <f>SUM(Y14:AB14)</f>
        <v>-309.35264790858469</v>
      </c>
      <c r="AU14" s="249">
        <f>SUM(AC14:AF14)</f>
        <v>-340.80732500859745</v>
      </c>
      <c r="AV14" s="249">
        <f>SUM(AG14:AJ14)</f>
        <v>-384.48001325975457</v>
      </c>
    </row>
    <row r="15" spans="2:48" x14ac:dyDescent="0.15">
      <c r="B15" s="7"/>
      <c r="E15" s="257"/>
      <c r="I15" s="257"/>
      <c r="M15" s="257"/>
      <c r="Q15" s="257"/>
      <c r="U15" s="257"/>
      <c r="Y15" s="257"/>
      <c r="AC15" s="257"/>
      <c r="AG15" s="257"/>
      <c r="AK15" s="257"/>
    </row>
    <row r="16" spans="2:48" x14ac:dyDescent="0.15">
      <c r="B16" s="6" t="s">
        <v>10</v>
      </c>
      <c r="C16" s="247"/>
      <c r="D16" s="247"/>
      <c r="E16" s="258"/>
      <c r="F16" s="247"/>
      <c r="G16" s="247"/>
      <c r="H16" s="247"/>
      <c r="I16" s="258">
        <v>-0.29887754316900011</v>
      </c>
      <c r="J16" s="247">
        <v>-2.8303712429220003</v>
      </c>
      <c r="K16" s="247">
        <v>2.4379287805551435</v>
      </c>
      <c r="L16" s="247">
        <v>0.12694025853200014</v>
      </c>
      <c r="M16" s="258">
        <v>-1.0916571926309999</v>
      </c>
      <c r="N16" s="247">
        <v>0.65258032810400002</v>
      </c>
      <c r="O16" s="247">
        <v>-0.23869642989599993</v>
      </c>
      <c r="P16" s="247">
        <v>0.62599608029999976</v>
      </c>
      <c r="Q16" s="258">
        <v>-0.78372072794600001</v>
      </c>
      <c r="R16" s="247">
        <v>-0.70659825852199998</v>
      </c>
      <c r="S16" s="247">
        <v>-0.41287009411200004</v>
      </c>
      <c r="T16" s="247">
        <v>0.46383046014999879</v>
      </c>
      <c r="U16" s="258">
        <v>-0.21514238932100033</v>
      </c>
      <c r="V16" s="247">
        <v>-0.293381422058</v>
      </c>
      <c r="W16" s="247">
        <v>3.8449496829673011E-2</v>
      </c>
      <c r="X16" s="247">
        <v>-1.4497891278606732</v>
      </c>
      <c r="Y16" s="258">
        <v>1.8302302590359998</v>
      </c>
      <c r="Z16" s="247">
        <v>-0.62489155669900009</v>
      </c>
      <c r="AA16" s="247">
        <v>-0.96378053155300003</v>
      </c>
      <c r="AB16" s="247">
        <v>5.7079762778000032E-2</v>
      </c>
      <c r="AC16" s="258">
        <v>-0.16057768858392008</v>
      </c>
      <c r="AD16" s="247">
        <v>-0.36864878615203001</v>
      </c>
      <c r="AE16" s="247">
        <v>0.15760205385508999</v>
      </c>
      <c r="AF16" s="247">
        <v>-9.3872636794679915E-2</v>
      </c>
      <c r="AG16" s="258">
        <v>-0.44185885467132535</v>
      </c>
      <c r="AH16" s="247">
        <v>-0.33880375302268184</v>
      </c>
      <c r="AI16" s="247">
        <v>0.78708202988822995</v>
      </c>
      <c r="AJ16" s="247">
        <v>0.41451303024879166</v>
      </c>
      <c r="AK16" s="258">
        <v>-0.55223720711324686</v>
      </c>
      <c r="AL16" s="247">
        <v>-0.21356043329831445</v>
      </c>
      <c r="AN16" s="247">
        <v>-0.162417155206</v>
      </c>
      <c r="AO16" s="247">
        <v>-0.47974157758900005</v>
      </c>
      <c r="AP16" s="247">
        <f>SUM(I16:L16)</f>
        <v>-0.56437974700385674</v>
      </c>
      <c r="AQ16" s="247">
        <f>SUM(M16:P16)</f>
        <v>-5.177721412300007E-2</v>
      </c>
      <c r="AR16" s="247">
        <f>SUM(Q16:T16)</f>
        <v>-1.4393586204300013</v>
      </c>
      <c r="AS16" s="247">
        <f>SUM(U16:X16)</f>
        <v>-1.9198634424100005</v>
      </c>
      <c r="AT16" s="247">
        <f>SUM(Y16:AB16)</f>
        <v>0.29863793356199969</v>
      </c>
      <c r="AU16" s="247">
        <f>SUM(AC16:AF16)</f>
        <v>-0.46549705767554006</v>
      </c>
      <c r="AV16" s="247">
        <f>SUM(AG16:AJ16)</f>
        <v>0.42093245244301442</v>
      </c>
    </row>
    <row r="17" spans="2:48" x14ac:dyDescent="0.15">
      <c r="B17" s="6" t="s">
        <v>340</v>
      </c>
      <c r="C17" s="247"/>
      <c r="D17" s="247"/>
      <c r="E17" s="258"/>
      <c r="F17" s="247"/>
      <c r="G17" s="247"/>
      <c r="H17" s="247"/>
      <c r="I17" s="258">
        <v>-0.62544</v>
      </c>
      <c r="J17" s="247">
        <v>-0.41187830000000003</v>
      </c>
      <c r="K17" s="247">
        <v>-0.51872429999999992</v>
      </c>
      <c r="L17" s="247">
        <v>-0.518594</v>
      </c>
      <c r="M17" s="258">
        <v>-0.42047809999999997</v>
      </c>
      <c r="N17" s="247">
        <v>-0.28587819999999997</v>
      </c>
      <c r="O17" s="247">
        <v>-0.28587819999999997</v>
      </c>
      <c r="P17" s="247">
        <v>-0.28587819999999997</v>
      </c>
      <c r="Q17" s="258">
        <v>-0.41499999999999998</v>
      </c>
      <c r="R17" s="247">
        <v>-0.42064400000000002</v>
      </c>
      <c r="S17" s="247">
        <v>-0.41765600000000003</v>
      </c>
      <c r="T17" s="247">
        <v>-0.41782200000000003</v>
      </c>
      <c r="U17" s="258">
        <v>-0.66387199999999991</v>
      </c>
      <c r="V17" s="247">
        <v>-0.47932921911099985</v>
      </c>
      <c r="W17" s="247">
        <v>-0.56944675632299979</v>
      </c>
      <c r="X17" s="247">
        <v>-0.56944682998399987</v>
      </c>
      <c r="Y17" s="258">
        <v>-0.56037599999999987</v>
      </c>
      <c r="Z17" s="247">
        <v>-0.50732611450999998</v>
      </c>
      <c r="AA17" s="247">
        <v>-0.48080136453</v>
      </c>
      <c r="AB17" s="247">
        <v>-0.37470188496000001</v>
      </c>
      <c r="AC17" s="258">
        <v>-0.49536000000000002</v>
      </c>
      <c r="AD17" s="247">
        <v>-0.56928208000000002</v>
      </c>
      <c r="AE17" s="247">
        <v>-0.53232111840000007</v>
      </c>
      <c r="AF17" s="247">
        <v>-0.53232112160000011</v>
      </c>
      <c r="AG17" s="258">
        <v>-0.64800000000000002</v>
      </c>
      <c r="AH17" s="247">
        <v>-0.49842517680000004</v>
      </c>
      <c r="AI17" s="247">
        <v>-0.42363776520000002</v>
      </c>
      <c r="AJ17" s="247">
        <v>-0.42363775800000003</v>
      </c>
      <c r="AK17" s="258">
        <v>-0.40034999999999998</v>
      </c>
      <c r="AL17" s="247">
        <v>-0.603854365</v>
      </c>
      <c r="AN17" s="247">
        <v>-1.6078971999999998</v>
      </c>
      <c r="AO17" s="247">
        <v>-3.7607019999999811</v>
      </c>
      <c r="AP17" s="247">
        <f>SUM(I17:L17)</f>
        <v>-2.0746365999999998</v>
      </c>
      <c r="AQ17" s="247">
        <f>SUM(M17:P17)</f>
        <v>-1.2781126999999999</v>
      </c>
      <c r="AR17" s="247">
        <f>SUM(Q17:T17)</f>
        <v>-1.671122</v>
      </c>
      <c r="AS17" s="247">
        <f>SUM(U17:X17)</f>
        <v>-2.2820948054179993</v>
      </c>
      <c r="AT17" s="247">
        <f>SUM(Y17:AB17)</f>
        <v>-1.9232053639999998</v>
      </c>
      <c r="AU17" s="247">
        <f>SUM(AC17:AF17)</f>
        <v>-2.12928432</v>
      </c>
      <c r="AV17" s="247">
        <f>SUM(AG17:AJ17)</f>
        <v>-1.9937007000000002</v>
      </c>
    </row>
    <row r="18" spans="2:48" x14ac:dyDescent="0.15">
      <c r="B18" s="2" t="s">
        <v>310</v>
      </c>
      <c r="C18" s="249"/>
      <c r="D18" s="249"/>
      <c r="E18" s="259"/>
      <c r="F18" s="249"/>
      <c r="G18" s="249"/>
      <c r="H18" s="249"/>
      <c r="I18" s="259">
        <f t="shared" ref="I18:X18" si="11">+I17+I16+I14+I12</f>
        <v>5.3059726770401383</v>
      </c>
      <c r="J18" s="249">
        <f t="shared" si="11"/>
        <v>20.978862707546412</v>
      </c>
      <c r="K18" s="249">
        <f t="shared" si="11"/>
        <v>15.987709142916565</v>
      </c>
      <c r="L18" s="249">
        <f t="shared" si="11"/>
        <v>16.328161866966511</v>
      </c>
      <c r="M18" s="259">
        <f t="shared" si="11"/>
        <v>67.219554416045412</v>
      </c>
      <c r="N18" s="249">
        <f t="shared" si="11"/>
        <v>82.769323868531018</v>
      </c>
      <c r="O18" s="249">
        <f t="shared" si="11"/>
        <v>58.206960579084054</v>
      </c>
      <c r="P18" s="249">
        <f t="shared" si="11"/>
        <v>84.616808857858203</v>
      </c>
      <c r="Q18" s="259">
        <f t="shared" si="11"/>
        <v>174.88447018671008</v>
      </c>
      <c r="R18" s="249">
        <f t="shared" si="11"/>
        <v>114.29190190776765</v>
      </c>
      <c r="S18" s="249">
        <f t="shared" si="11"/>
        <v>94.223538450479452</v>
      </c>
      <c r="T18" s="249">
        <f t="shared" si="11"/>
        <v>120.99266882109727</v>
      </c>
      <c r="U18" s="259">
        <f t="shared" si="11"/>
        <v>151.45527946245548</v>
      </c>
      <c r="V18" s="249">
        <f t="shared" si="11"/>
        <v>138.42016387193848</v>
      </c>
      <c r="W18" s="249">
        <f t="shared" si="11"/>
        <v>146.93785673296799</v>
      </c>
      <c r="X18" s="249">
        <f t="shared" si="11"/>
        <v>155.09509346898736</v>
      </c>
      <c r="Y18" s="259">
        <f>+Y17+Y16+Y14+Y12</f>
        <v>183.2995823061645</v>
      </c>
      <c r="Z18" s="249">
        <f>+Z17+Z16+Z14+Z12</f>
        <v>137.35948826972594</v>
      </c>
      <c r="AA18" s="249">
        <f>+AA17+AA16+AA14+AA12</f>
        <v>162.32350436914942</v>
      </c>
      <c r="AB18" s="249">
        <f>+AB17+AB16+AB14+AB12</f>
        <v>160.46153825128522</v>
      </c>
      <c r="AC18" s="259">
        <f>+AC17+AC16+AC14+AC12</f>
        <v>168.88439710830727</v>
      </c>
      <c r="AD18" s="249">
        <f t="shared" ref="AD18:AL18" si="12">+AD17+AD16+AD14+AD12</f>
        <v>187.84817762773133</v>
      </c>
      <c r="AE18" s="249">
        <f t="shared" si="12"/>
        <v>166.55264477510013</v>
      </c>
      <c r="AF18" s="249">
        <f t="shared" si="12"/>
        <v>195.15014530610057</v>
      </c>
      <c r="AG18" s="259">
        <f t="shared" si="12"/>
        <v>229.82077807008832</v>
      </c>
      <c r="AH18" s="249">
        <f t="shared" si="12"/>
        <v>232.240938613829</v>
      </c>
      <c r="AI18" s="249">
        <f t="shared" si="12"/>
        <v>247.26334503268572</v>
      </c>
      <c r="AJ18" s="249">
        <f t="shared" si="12"/>
        <v>260.41993469343942</v>
      </c>
      <c r="AK18" s="259">
        <f t="shared" si="12"/>
        <v>310.66755718203672</v>
      </c>
      <c r="AL18" s="249">
        <f t="shared" si="12"/>
        <v>359.68249984030473</v>
      </c>
      <c r="AN18" s="249">
        <f t="shared" ref="AN18:AS18" si="13">+AN17+AN16+AN14+AN12</f>
        <v>27.435647345175767</v>
      </c>
      <c r="AO18" s="249">
        <f t="shared" si="13"/>
        <v>25.809727845445309</v>
      </c>
      <c r="AP18" s="249">
        <f t="shared" si="13"/>
        <v>58.600706394469626</v>
      </c>
      <c r="AQ18" s="249">
        <f t="shared" si="13"/>
        <v>292.81264772151872</v>
      </c>
      <c r="AR18" s="249">
        <f t="shared" si="13"/>
        <v>504.39257936605446</v>
      </c>
      <c r="AS18" s="249">
        <f t="shared" si="13"/>
        <v>591.90839353634931</v>
      </c>
      <c r="AT18" s="249">
        <f>+AT17+AT16+AT14+AT12</f>
        <v>643.44411319632525</v>
      </c>
      <c r="AU18" s="249">
        <f>+AU17+AU16+AU14+AU12</f>
        <v>718.43536481723947</v>
      </c>
      <c r="AV18" s="249">
        <f>+AV17+AV16+AV14+AV12</f>
        <v>969.74499641004252</v>
      </c>
    </row>
    <row r="19" spans="2:48"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c r="AV19" s="212"/>
    </row>
    <row r="20" spans="2:48"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0</v>
      </c>
      <c r="AG20" s="258"/>
      <c r="AH20" s="247"/>
      <c r="AI20" s="247"/>
      <c r="AJ20" s="247"/>
      <c r="AK20" s="258"/>
      <c r="AL20" s="247"/>
      <c r="AN20" s="247"/>
      <c r="AO20" s="247"/>
      <c r="AP20" s="247">
        <f>SUM(I20:L20)</f>
        <v>16.4435</v>
      </c>
      <c r="AQ20" s="247"/>
      <c r="AR20" s="247"/>
      <c r="AS20" s="247"/>
      <c r="AT20" s="247"/>
      <c r="AU20" s="247"/>
      <c r="AV20" s="247"/>
    </row>
    <row r="21" spans="2:48" x14ac:dyDescent="0.15">
      <c r="B21" s="6" t="s">
        <v>265</v>
      </c>
      <c r="C21" s="247"/>
      <c r="D21" s="247"/>
      <c r="E21" s="258"/>
      <c r="F21" s="247"/>
      <c r="G21" s="247"/>
      <c r="H21" s="247"/>
      <c r="I21" s="258">
        <v>-6.1779999999999999</v>
      </c>
      <c r="J21" s="247">
        <v>-7.6959999999999997</v>
      </c>
      <c r="K21" s="247">
        <v>-2.101</v>
      </c>
      <c r="L21" s="247">
        <v>-26.680999999999997</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-8.4962203272035381</v>
      </c>
      <c r="AG21" s="258"/>
      <c r="AH21" s="247"/>
      <c r="AI21" s="247"/>
      <c r="AJ21" s="247"/>
      <c r="AK21" s="258"/>
      <c r="AL21" s="247"/>
      <c r="AN21" s="247">
        <v>-11.25</v>
      </c>
      <c r="AO21" s="247">
        <v>-15.9</v>
      </c>
      <c r="AP21" s="247">
        <f>SUM(I21:L21)</f>
        <v>-42.655999999999992</v>
      </c>
      <c r="AQ21" s="247">
        <f>SUM(M21:P21)</f>
        <v>-32.327500000000001</v>
      </c>
      <c r="AR21" s="247"/>
      <c r="AS21" s="247">
        <f>SUM(U21:X21)</f>
        <v>-4.0882750696999999</v>
      </c>
      <c r="AT21" s="247"/>
      <c r="AU21" s="247">
        <f t="shared" ref="AU21" si="14">SUM(AC21:AF21)</f>
        <v>-8.4962203272035381</v>
      </c>
      <c r="AV21" s="247"/>
    </row>
    <row r="22" spans="2:48"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0</v>
      </c>
      <c r="AG22" s="258"/>
      <c r="AH22" s="247"/>
      <c r="AI22" s="247"/>
      <c r="AJ22" s="247"/>
      <c r="AK22" s="258"/>
      <c r="AL22" s="247"/>
      <c r="AN22" s="247"/>
      <c r="AO22" s="247"/>
      <c r="AP22" s="247"/>
      <c r="AQ22" s="247"/>
      <c r="AR22" s="247"/>
      <c r="AS22" s="247"/>
      <c r="AT22" s="247"/>
      <c r="AU22" s="247"/>
      <c r="AV22" s="247"/>
    </row>
    <row r="23" spans="2:48"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c r="AV23" s="212"/>
    </row>
    <row r="24" spans="2:48" x14ac:dyDescent="0.15">
      <c r="B24" s="2" t="s">
        <v>311</v>
      </c>
      <c r="C24" s="249"/>
      <c r="D24" s="249"/>
      <c r="E24" s="259"/>
      <c r="F24" s="249"/>
      <c r="G24" s="249"/>
      <c r="H24" s="249"/>
      <c r="I24" s="259">
        <f t="shared" ref="I24:X24" si="15">+I20+I18+I21</f>
        <v>15.571472677040138</v>
      </c>
      <c r="J24" s="249">
        <f t="shared" si="15"/>
        <v>13.282862707546412</v>
      </c>
      <c r="K24" s="249">
        <f t="shared" si="15"/>
        <v>13.886709142916565</v>
      </c>
      <c r="L24" s="249">
        <f t="shared" si="15"/>
        <v>-10.352838133033487</v>
      </c>
      <c r="M24" s="259">
        <f t="shared" si="15"/>
        <v>67.219554416045412</v>
      </c>
      <c r="N24" s="249">
        <f t="shared" si="15"/>
        <v>80.019323868531018</v>
      </c>
      <c r="O24" s="249">
        <f t="shared" si="15"/>
        <v>53.471960579084055</v>
      </c>
      <c r="P24" s="249">
        <f t="shared" si="15"/>
        <v>59.774308857858202</v>
      </c>
      <c r="Q24" s="259">
        <f t="shared" si="15"/>
        <v>174.88447018671008</v>
      </c>
      <c r="R24" s="249">
        <f t="shared" si="15"/>
        <v>114.29190190776765</v>
      </c>
      <c r="S24" s="249">
        <f t="shared" si="15"/>
        <v>94.223538450479452</v>
      </c>
      <c r="T24" s="249">
        <f t="shared" si="15"/>
        <v>120.99266882109727</v>
      </c>
      <c r="U24" s="259">
        <f t="shared" si="15"/>
        <v>150.97927946245548</v>
      </c>
      <c r="V24" s="249">
        <f t="shared" si="15"/>
        <v>136.0132554522385</v>
      </c>
      <c r="W24" s="249">
        <f t="shared" si="15"/>
        <v>146.05231502296797</v>
      </c>
      <c r="X24" s="249">
        <f t="shared" si="15"/>
        <v>154.77526852898737</v>
      </c>
      <c r="Y24" s="259">
        <f>+Y20+Y18+Y21</f>
        <v>183.2995823061645</v>
      </c>
      <c r="Z24" s="249">
        <f>+Z20+Z18+Z21</f>
        <v>137.35948826972594</v>
      </c>
      <c r="AA24" s="249">
        <f>+AA20+AA18+AA21</f>
        <v>162.32350436914942</v>
      </c>
      <c r="AB24" s="249">
        <f>+AB20+AB18+AB21</f>
        <v>160.46153825128522</v>
      </c>
      <c r="AC24" s="259">
        <f>+AC20+AC18+AC21</f>
        <v>168.88439710830727</v>
      </c>
      <c r="AD24" s="249">
        <f t="shared" ref="AD24:AE24" si="16">+AD20+AD18+AD21</f>
        <v>187.84817762773133</v>
      </c>
      <c r="AE24" s="249">
        <f t="shared" si="16"/>
        <v>166.55264477510013</v>
      </c>
      <c r="AF24" s="249">
        <f>+AF20+AF18+AF21+AF22</f>
        <v>186.65392497889704</v>
      </c>
      <c r="AG24" s="259">
        <f>+AG20+AG18+AG21+AG22</f>
        <v>229.82077807008832</v>
      </c>
      <c r="AH24" s="249">
        <f>+AH20+AH18+AH21+AH22</f>
        <v>232.240938613829</v>
      </c>
      <c r="AI24" s="249">
        <f>+AI20+AI18+AI21+AI22</f>
        <v>247.26334503268572</v>
      </c>
      <c r="AJ24" s="249">
        <f>+AJ20+AJ18+AJ21+AJ22</f>
        <v>260.41993469343942</v>
      </c>
      <c r="AK24" s="259">
        <f t="shared" ref="AK24" si="17">+AK20+AK18+AK21+AK22</f>
        <v>310.66755718203672</v>
      </c>
      <c r="AL24" s="249">
        <f>+AL20+AL18+AL21+AL22</f>
        <v>359.68249984030473</v>
      </c>
      <c r="AN24" s="249">
        <f t="shared" ref="AN24:AS24" si="18">+AN20+AN18+AN21</f>
        <v>16.185647345175767</v>
      </c>
      <c r="AO24" s="249">
        <f t="shared" si="18"/>
        <v>9.9097278454453086</v>
      </c>
      <c r="AP24" s="249">
        <f t="shared" si="18"/>
        <v>32.388206394469634</v>
      </c>
      <c r="AQ24" s="249">
        <f t="shared" si="18"/>
        <v>260.48514772151873</v>
      </c>
      <c r="AR24" s="249">
        <f t="shared" si="18"/>
        <v>504.39257936605446</v>
      </c>
      <c r="AS24" s="249">
        <f t="shared" si="18"/>
        <v>587.82011846664932</v>
      </c>
      <c r="AT24" s="249">
        <f>+AT20+AT18+AT21</f>
        <v>643.44411319632525</v>
      </c>
      <c r="AU24" s="249">
        <f>+AU20+AU18+AU21+AU22</f>
        <v>709.93914449003591</v>
      </c>
      <c r="AV24" s="249">
        <f>+AV20+AV18+AV21+AV22</f>
        <v>969.74499641004252</v>
      </c>
    </row>
    <row r="25" spans="2:48"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c r="AV25" s="212"/>
    </row>
    <row r="26" spans="2:48"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c r="AV26" s="212"/>
    </row>
    <row r="27" spans="2:48" ht="12" x14ac:dyDescent="0.15">
      <c r="B27" s="11" t="s">
        <v>356</v>
      </c>
      <c r="C27" s="247">
        <v>82000</v>
      </c>
      <c r="D27" s="247">
        <f>AN27</f>
        <v>97900</v>
      </c>
      <c r="E27" s="258">
        <v>101400</v>
      </c>
      <c r="F27" s="247">
        <v>103700</v>
      </c>
      <c r="G27" s="247">
        <v>107600</v>
      </c>
      <c r="H27" s="247">
        <v>110900</v>
      </c>
      <c r="I27" s="258">
        <v>115000</v>
      </c>
      <c r="J27" s="247">
        <v>138700</v>
      </c>
      <c r="K27" s="247">
        <v>143500</v>
      </c>
      <c r="L27" s="247">
        <v>150400</v>
      </c>
      <c r="M27" s="258">
        <v>174900</v>
      </c>
      <c r="N27" s="247">
        <v>194900</v>
      </c>
      <c r="O27" s="247">
        <v>210300</v>
      </c>
      <c r="P27" s="247">
        <v>235300</v>
      </c>
      <c r="Q27" s="258">
        <v>288300</v>
      </c>
      <c r="R27" s="247">
        <v>311000</v>
      </c>
      <c r="S27" s="247">
        <v>323900</v>
      </c>
      <c r="T27" s="247">
        <v>336800</v>
      </c>
      <c r="U27" s="258">
        <v>344200</v>
      </c>
      <c r="V27" s="247">
        <v>349600</v>
      </c>
      <c r="W27" s="247">
        <v>357000</v>
      </c>
      <c r="X27" s="247">
        <v>363500</v>
      </c>
      <c r="Y27" s="258">
        <v>374800</v>
      </c>
      <c r="Z27" s="247">
        <v>380700</v>
      </c>
      <c r="AA27" s="247">
        <v>389800</v>
      </c>
      <c r="AB27" s="247">
        <v>399000</v>
      </c>
      <c r="AC27" s="258">
        <v>413300</v>
      </c>
      <c r="AD27" s="247">
        <v>425900</v>
      </c>
      <c r="AE27" s="247">
        <v>444900</v>
      </c>
      <c r="AF27" s="247">
        <v>462800</v>
      </c>
      <c r="AG27" s="258">
        <v>480000</v>
      </c>
      <c r="AH27" s="247">
        <v>491800</v>
      </c>
      <c r="AI27" s="247">
        <v>508500</v>
      </c>
      <c r="AJ27" s="247">
        <v>523400</v>
      </c>
      <c r="AK27" s="258">
        <v>541900</v>
      </c>
      <c r="AL27" s="247">
        <v>561500</v>
      </c>
      <c r="AM27" s="212"/>
      <c r="AN27" s="247">
        <v>97900</v>
      </c>
      <c r="AO27" s="247">
        <f>+H27</f>
        <v>110900</v>
      </c>
      <c r="AP27" s="247">
        <f>+L27</f>
        <v>150400</v>
      </c>
      <c r="AQ27" s="247">
        <f>+P27</f>
        <v>235300</v>
      </c>
      <c r="AR27" s="247">
        <f>+T27</f>
        <v>336800</v>
      </c>
      <c r="AS27" s="247">
        <f>+X27</f>
        <v>363500</v>
      </c>
      <c r="AT27" s="247">
        <f>+AB27</f>
        <v>399000</v>
      </c>
      <c r="AU27" s="247">
        <f>+AF27</f>
        <v>462800</v>
      </c>
      <c r="AV27" s="247">
        <f>+AJ27</f>
        <v>523400</v>
      </c>
    </row>
    <row r="28" spans="2:48" ht="12" x14ac:dyDescent="0.15">
      <c r="B28" s="11" t="s">
        <v>357</v>
      </c>
      <c r="C28" s="247"/>
      <c r="D28" s="247"/>
      <c r="E28" s="258"/>
      <c r="F28" s="247"/>
      <c r="G28" s="247"/>
      <c r="H28" s="247"/>
      <c r="I28" s="258">
        <f t="shared" ref="I28:AL28" si="19">+I27-H27</f>
        <v>4100</v>
      </c>
      <c r="J28" s="247">
        <f t="shared" si="19"/>
        <v>23700</v>
      </c>
      <c r="K28" s="247">
        <f t="shared" si="19"/>
        <v>4800</v>
      </c>
      <c r="L28" s="247">
        <f t="shared" si="19"/>
        <v>6900</v>
      </c>
      <c r="M28" s="258">
        <f t="shared" si="19"/>
        <v>24500</v>
      </c>
      <c r="N28" s="247">
        <f t="shared" si="19"/>
        <v>20000</v>
      </c>
      <c r="O28" s="247">
        <f t="shared" si="19"/>
        <v>15400</v>
      </c>
      <c r="P28" s="247">
        <f t="shared" si="19"/>
        <v>25000</v>
      </c>
      <c r="Q28" s="258">
        <f t="shared" si="19"/>
        <v>53000</v>
      </c>
      <c r="R28" s="247">
        <f t="shared" si="19"/>
        <v>22700</v>
      </c>
      <c r="S28" s="247">
        <f t="shared" si="19"/>
        <v>12900</v>
      </c>
      <c r="T28" s="247">
        <f t="shared" si="19"/>
        <v>12900</v>
      </c>
      <c r="U28" s="258">
        <f t="shared" si="19"/>
        <v>7400</v>
      </c>
      <c r="V28" s="247">
        <f t="shared" si="19"/>
        <v>5400</v>
      </c>
      <c r="W28" s="247">
        <f t="shared" si="19"/>
        <v>7400</v>
      </c>
      <c r="X28" s="247">
        <f t="shared" si="19"/>
        <v>6500</v>
      </c>
      <c r="Y28" s="258">
        <f t="shared" si="19"/>
        <v>11300</v>
      </c>
      <c r="Z28" s="247">
        <f t="shared" si="19"/>
        <v>5900</v>
      </c>
      <c r="AA28" s="247">
        <f t="shared" si="19"/>
        <v>9100</v>
      </c>
      <c r="AB28" s="247">
        <f>+AB27-AA27</f>
        <v>9200</v>
      </c>
      <c r="AC28" s="258">
        <f t="shared" si="19"/>
        <v>14300</v>
      </c>
      <c r="AD28" s="247">
        <f t="shared" si="19"/>
        <v>12600</v>
      </c>
      <c r="AE28" s="247">
        <f t="shared" si="19"/>
        <v>19000</v>
      </c>
      <c r="AF28" s="247">
        <f t="shared" si="19"/>
        <v>17900</v>
      </c>
      <c r="AG28" s="258">
        <f t="shared" si="19"/>
        <v>17200</v>
      </c>
      <c r="AH28" s="247">
        <f t="shared" si="19"/>
        <v>11800</v>
      </c>
      <c r="AI28" s="247">
        <f t="shared" si="19"/>
        <v>16700</v>
      </c>
      <c r="AJ28" s="247">
        <f t="shared" si="19"/>
        <v>14900</v>
      </c>
      <c r="AK28" s="258">
        <f t="shared" si="19"/>
        <v>18500</v>
      </c>
      <c r="AL28" s="247">
        <f t="shared" si="19"/>
        <v>19600</v>
      </c>
      <c r="AM28" s="212"/>
      <c r="AN28" s="247">
        <f>+AN27-C27</f>
        <v>15900</v>
      </c>
      <c r="AO28" s="247">
        <f>+AO27-AN27</f>
        <v>13000</v>
      </c>
      <c r="AP28" s="247">
        <f>+AP27-AO27</f>
        <v>39500</v>
      </c>
      <c r="AQ28" s="247">
        <f>SUM(M28:P28)</f>
        <v>84900</v>
      </c>
      <c r="AR28" s="247">
        <f>SUM(Q28:T28)</f>
        <v>101500</v>
      </c>
      <c r="AS28" s="247">
        <f>SUM(U28:X28)</f>
        <v>26700</v>
      </c>
      <c r="AT28" s="247">
        <f>SUM(Y28:AB28)</f>
        <v>35500</v>
      </c>
      <c r="AU28" s="247">
        <f>SUM(AC28:AF28)</f>
        <v>63800</v>
      </c>
      <c r="AV28" s="247">
        <f>SUM(AG28:AJ28)</f>
        <v>60600</v>
      </c>
    </row>
    <row r="29" spans="2:48" ht="12" x14ac:dyDescent="0.15">
      <c r="B29" s="11" t="s">
        <v>365</v>
      </c>
      <c r="C29" s="250"/>
      <c r="D29" s="250"/>
      <c r="E29" s="262"/>
      <c r="F29" s="250"/>
      <c r="G29" s="250"/>
      <c r="H29" s="250"/>
      <c r="I29" s="262">
        <f>+I27/E27-1</f>
        <v>0.13412228796844183</v>
      </c>
      <c r="J29" s="250">
        <f t="shared" ref="J29:T29" si="20">+J27/F27-1</f>
        <v>0.33751205400192874</v>
      </c>
      <c r="K29" s="250">
        <f t="shared" si="20"/>
        <v>0.33364312267657992</v>
      </c>
      <c r="L29" s="250">
        <f t="shared" si="20"/>
        <v>0.35617673579801634</v>
      </c>
      <c r="M29" s="262">
        <f t="shared" si="20"/>
        <v>0.52086956521739136</v>
      </c>
      <c r="N29" s="250">
        <f t="shared" si="20"/>
        <v>0.40519105984138437</v>
      </c>
      <c r="O29" s="250">
        <f t="shared" si="20"/>
        <v>0.46550522648083614</v>
      </c>
      <c r="P29" s="250">
        <f t="shared" si="20"/>
        <v>0.5644946808510638</v>
      </c>
      <c r="Q29" s="262">
        <f t="shared" si="20"/>
        <v>0.64837049742710118</v>
      </c>
      <c r="R29" s="250">
        <f t="shared" si="20"/>
        <v>0.5956900974858903</v>
      </c>
      <c r="S29" s="250">
        <f t="shared" si="20"/>
        <v>0.54018069424631476</v>
      </c>
      <c r="T29" s="250">
        <f t="shared" si="20"/>
        <v>0.43136421589460272</v>
      </c>
      <c r="U29" s="262">
        <v>0.22</v>
      </c>
      <c r="V29" s="250">
        <v>0.16</v>
      </c>
      <c r="W29" s="250">
        <v>0.13</v>
      </c>
      <c r="X29" s="250">
        <v>0.11</v>
      </c>
      <c r="Y29" s="262">
        <f>+Y27/U27-1</f>
        <v>8.8901801278326475E-2</v>
      </c>
      <c r="Z29" s="250">
        <f>+Z27/V27-1</f>
        <v>8.8958810068649807E-2</v>
      </c>
      <c r="AA29" s="250">
        <f>+AA27/W27-1</f>
        <v>9.1876750700280008E-2</v>
      </c>
      <c r="AB29" s="250">
        <f>+AB27/X27-1</f>
        <v>9.7661623108665774E-2</v>
      </c>
      <c r="AC29" s="262">
        <f>+AC27/Y27-1</f>
        <v>0.10272145144076839</v>
      </c>
      <c r="AD29" s="250">
        <f t="shared" ref="AD29:AL29" si="21">+AD27/Z27-1</f>
        <v>0.11872865773575003</v>
      </c>
      <c r="AE29" s="250">
        <f t="shared" si="21"/>
        <v>0.14135454079014886</v>
      </c>
      <c r="AF29" s="250">
        <f t="shared" si="21"/>
        <v>0.15989974937343354</v>
      </c>
      <c r="AG29" s="262">
        <f t="shared" si="21"/>
        <v>0.16138398257924025</v>
      </c>
      <c r="AH29" s="296">
        <f t="shared" si="21"/>
        <v>0.15473115754872047</v>
      </c>
      <c r="AI29" s="296">
        <f t="shared" si="21"/>
        <v>0.14295347269049219</v>
      </c>
      <c r="AJ29" s="296">
        <f t="shared" si="21"/>
        <v>0.13094209161624892</v>
      </c>
      <c r="AK29" s="262">
        <f t="shared" si="21"/>
        <v>0.12895833333333329</v>
      </c>
      <c r="AL29" s="296">
        <f t="shared" si="21"/>
        <v>0.1417242781618544</v>
      </c>
      <c r="AM29" s="212"/>
      <c r="AN29" s="250">
        <f>+AN27/C27-1</f>
        <v>0.19390243902439019</v>
      </c>
      <c r="AO29" s="250">
        <f>+AO27/AN27-1</f>
        <v>0.13278855975485193</v>
      </c>
      <c r="AP29" s="250">
        <f>+AP27/AO27-1</f>
        <v>0.35617673579801634</v>
      </c>
      <c r="AQ29" s="250">
        <f>+AQ27/AP27-1</f>
        <v>0.5644946808510638</v>
      </c>
      <c r="AR29" s="250">
        <f>+AR27/AQ27-1</f>
        <v>0.43136421589460272</v>
      </c>
      <c r="AS29" s="250">
        <v>0.1071</v>
      </c>
      <c r="AT29" s="250">
        <f>+AT27/AS27-1</f>
        <v>9.7661623108665774E-2</v>
      </c>
      <c r="AU29" s="250">
        <f>+AU27/AT27-1</f>
        <v>0.15989974937343354</v>
      </c>
      <c r="AV29" s="250">
        <f>+AV27/AU27-1</f>
        <v>0.13094209161624892</v>
      </c>
    </row>
    <row r="30" spans="2:48" x14ac:dyDescent="0.15">
      <c r="B30" s="11" t="s">
        <v>24</v>
      </c>
      <c r="C30" s="248"/>
      <c r="D30" s="248"/>
      <c r="E30" s="263">
        <v>1.2768418454548196</v>
      </c>
      <c r="F30" s="248">
        <v>0.67874255844394615</v>
      </c>
      <c r="G30" s="248">
        <v>1.0459247831599998</v>
      </c>
      <c r="H30" s="248">
        <v>0.254062287</v>
      </c>
      <c r="I30" s="263">
        <v>1.0645549281</v>
      </c>
      <c r="J30" s="248">
        <v>0.41872498878999997</v>
      </c>
      <c r="K30" s="248">
        <v>0.91564283999999996</v>
      </c>
      <c r="L30" s="248">
        <v>1.6066688392425899</v>
      </c>
      <c r="M30" s="263">
        <v>4.9559322840000002</v>
      </c>
      <c r="N30" s="248">
        <v>3.5128568750000002</v>
      </c>
      <c r="O30" s="248">
        <v>2.3752685069999999</v>
      </c>
      <c r="P30" s="248">
        <v>5.7</v>
      </c>
      <c r="Q30" s="263">
        <v>8.1</v>
      </c>
      <c r="R30" s="248">
        <v>4.5999999999999996</v>
      </c>
      <c r="S30" s="248">
        <v>3.7</v>
      </c>
      <c r="T30" s="248">
        <v>4.4000000000000004</v>
      </c>
      <c r="U30" s="263">
        <v>4.8</v>
      </c>
      <c r="V30" s="248">
        <v>1.1000000000000001</v>
      </c>
      <c r="W30" s="248">
        <v>0.6</v>
      </c>
      <c r="X30" s="248">
        <v>-0.5</v>
      </c>
      <c r="Y30" s="263">
        <v>-0.2</v>
      </c>
      <c r="Z30" s="248">
        <v>0.8</v>
      </c>
      <c r="AA30" s="248">
        <v>1.9</v>
      </c>
      <c r="AB30" s="248">
        <v>2.5</v>
      </c>
      <c r="AC30" s="263">
        <v>6.7</v>
      </c>
      <c r="AD30" s="248">
        <v>5</v>
      </c>
      <c r="AE30" s="248">
        <v>5.3</v>
      </c>
      <c r="AF30" s="248">
        <v>5.4</v>
      </c>
      <c r="AG30" s="263">
        <v>3.7</v>
      </c>
      <c r="AH30" s="248">
        <v>2.1</v>
      </c>
      <c r="AI30" s="248">
        <v>5.7</v>
      </c>
      <c r="AJ30" s="248">
        <v>6.5</v>
      </c>
      <c r="AK30" s="263">
        <v>8.1999999999999993</v>
      </c>
      <c r="AL30" s="248">
        <v>6</v>
      </c>
      <c r="AM30" s="212"/>
      <c r="AN30" s="248">
        <v>5.3259999999999996</v>
      </c>
      <c r="AO30" s="248">
        <v>3.2555714740587653</v>
      </c>
      <c r="AP30" s="248">
        <f>SUM(I30:L30)</f>
        <v>4.0055915961325894</v>
      </c>
      <c r="AQ30" s="248">
        <f>SUM(M30:P30)</f>
        <v>16.544057666</v>
      </c>
      <c r="AR30" s="248">
        <f>SUM(Q30:T30)</f>
        <v>20.799999999999997</v>
      </c>
      <c r="AS30" s="248">
        <f>SUM(U30:X30)</f>
        <v>6</v>
      </c>
      <c r="AT30" s="248">
        <f>SUM(Y30:AB30)</f>
        <v>5</v>
      </c>
      <c r="AU30" s="248">
        <f>SUM(AC30:AF30)</f>
        <v>22.4</v>
      </c>
      <c r="AV30" s="248">
        <f>SUM(AG30:AJ30)</f>
        <v>18</v>
      </c>
    </row>
    <row r="31" spans="2:48" x14ac:dyDescent="0.15">
      <c r="B31" s="11" t="s">
        <v>177</v>
      </c>
      <c r="C31" s="250"/>
      <c r="D31" s="250"/>
      <c r="E31" s="262"/>
      <c r="F31" s="250"/>
      <c r="G31" s="250"/>
      <c r="H31" s="250"/>
      <c r="I31" s="262">
        <f t="shared" ref="I31:AL31" si="22">+SUM(F30:I30)*1000/E40</f>
        <v>8.4208205774873979E-2</v>
      </c>
      <c r="J31" s="250">
        <f t="shared" si="22"/>
        <v>6.9115147431090151E-2</v>
      </c>
      <c r="K31" s="250">
        <f t="shared" si="22"/>
        <v>6.3076201709224913E-2</v>
      </c>
      <c r="L31" s="250">
        <f t="shared" si="22"/>
        <v>0.11398951611077375</v>
      </c>
      <c r="M31" s="262">
        <f t="shared" si="22"/>
        <v>0.19364808612144654</v>
      </c>
      <c r="N31" s="250">
        <f t="shared" si="22"/>
        <v>0.19330110513968679</v>
      </c>
      <c r="O31" s="250">
        <f t="shared" si="22"/>
        <v>0.21600844041017678</v>
      </c>
      <c r="P31" s="250">
        <f t="shared" si="22"/>
        <v>0.26065948741137546</v>
      </c>
      <c r="Q31" s="262">
        <f t="shared" si="22"/>
        <v>0.39765957144011316</v>
      </c>
      <c r="R31" s="250">
        <f t="shared" si="22"/>
        <v>0.32872260295886074</v>
      </c>
      <c r="S31" s="250">
        <f t="shared" si="22"/>
        <v>0.31396505185395646</v>
      </c>
      <c r="T31" s="250">
        <f t="shared" si="22"/>
        <v>0.23294881845671403</v>
      </c>
      <c r="U31" s="262">
        <f t="shared" si="22"/>
        <v>0.15952597994530537</v>
      </c>
      <c r="V31" s="250">
        <f t="shared" si="22"/>
        <v>0.1210863172461512</v>
      </c>
      <c r="W31" s="250">
        <f t="shared" si="22"/>
        <v>9.1167614586818324E-2</v>
      </c>
      <c r="X31" s="250">
        <f t="shared" si="22"/>
        <v>4.5051809581018169E-2</v>
      </c>
      <c r="Y31" s="262">
        <f t="shared" si="22"/>
        <v>7.216569242981888E-3</v>
      </c>
      <c r="Z31" s="250">
        <f t="shared" si="22"/>
        <v>5.6406124093473006E-3</v>
      </c>
      <c r="AA31" s="250">
        <f t="shared" si="22"/>
        <v>1.6777116013757237E-2</v>
      </c>
      <c r="AB31" s="250">
        <f>+SUM(Y30:AB30)*1000/X40</f>
        <v>3.9796243234638651E-2</v>
      </c>
      <c r="AC31" s="262">
        <f t="shared" si="22"/>
        <v>9.442945564196159E-2</v>
      </c>
      <c r="AD31" s="250">
        <f t="shared" si="22"/>
        <v>0.12181281682681397</v>
      </c>
      <c r="AE31" s="250">
        <f t="shared" si="22"/>
        <v>0.14324542716520972</v>
      </c>
      <c r="AF31" s="250">
        <f t="shared" si="22"/>
        <v>0.15996572163107906</v>
      </c>
      <c r="AG31" s="262">
        <f t="shared" si="22"/>
        <v>0.12677252826243224</v>
      </c>
      <c r="AH31" s="296">
        <f t="shared" si="22"/>
        <v>9.8115002675863705E-2</v>
      </c>
      <c r="AI31" s="296">
        <f t="shared" si="22"/>
        <v>9.8963518182350552E-2</v>
      </c>
      <c r="AJ31" s="296">
        <f t="shared" si="22"/>
        <v>9.726049602852975E-2</v>
      </c>
      <c r="AK31" s="262">
        <f t="shared" si="22"/>
        <v>0.12569130216189039</v>
      </c>
      <c r="AL31" s="296">
        <f t="shared" si="22"/>
        <v>0.13593532773801556</v>
      </c>
      <c r="AM31" s="212"/>
      <c r="AN31" s="250">
        <f>+AN30*1000/C40</f>
        <v>0.19445052939028842</v>
      </c>
      <c r="AO31" s="250">
        <f t="shared" ref="AO31:AV31" si="23">+AO30*1000/AN40</f>
        <v>9.6148005731209851E-2</v>
      </c>
      <c r="AP31" s="250">
        <f t="shared" si="23"/>
        <v>0.11398951611077375</v>
      </c>
      <c r="AQ31" s="250">
        <f t="shared" si="23"/>
        <v>0.26065948741137546</v>
      </c>
      <c r="AR31" s="250">
        <f t="shared" si="23"/>
        <v>0.23294881845671403</v>
      </c>
      <c r="AS31" s="250">
        <f t="shared" si="23"/>
        <v>4.5051809581018169E-2</v>
      </c>
      <c r="AT31" s="250">
        <f t="shared" si="23"/>
        <v>3.9796243234638651E-2</v>
      </c>
      <c r="AU31" s="250">
        <f t="shared" si="23"/>
        <v>0.15996572163107906</v>
      </c>
      <c r="AV31" s="250">
        <f t="shared" si="23"/>
        <v>9.726049602852975E-2</v>
      </c>
    </row>
    <row r="32" spans="2:48" x14ac:dyDescent="0.15">
      <c r="B32" s="11" t="s">
        <v>313</v>
      </c>
      <c r="C32" s="247"/>
      <c r="D32" s="247"/>
      <c r="E32" s="258"/>
      <c r="F32" s="247"/>
      <c r="G32" s="247"/>
      <c r="H32" s="247">
        <f t="shared" ref="H32:AL32" si="24">+ROUND(AVERAGE(D40:H40)*1000000/AVERAGE(D27:H27),-2)</f>
        <v>359500</v>
      </c>
      <c r="I32" s="258">
        <f t="shared" si="24"/>
        <v>360900</v>
      </c>
      <c r="J32" s="247">
        <f t="shared" si="24"/>
        <v>373500</v>
      </c>
      <c r="K32" s="247">
        <f t="shared" si="24"/>
        <v>377600</v>
      </c>
      <c r="L32" s="247">
        <f t="shared" si="24"/>
        <v>385600</v>
      </c>
      <c r="M32" s="258">
        <f t="shared" si="24"/>
        <v>371300</v>
      </c>
      <c r="N32" s="247">
        <f t="shared" si="24"/>
        <v>362300</v>
      </c>
      <c r="O32" s="247">
        <f t="shared" si="24"/>
        <v>348100</v>
      </c>
      <c r="P32" s="247">
        <f t="shared" si="24"/>
        <v>347800</v>
      </c>
      <c r="Q32" s="258">
        <f t="shared" si="24"/>
        <v>346200</v>
      </c>
      <c r="R32" s="247">
        <f t="shared" si="24"/>
        <v>361500</v>
      </c>
      <c r="S32" s="247">
        <f t="shared" si="24"/>
        <v>368600</v>
      </c>
      <c r="T32" s="247">
        <f t="shared" si="24"/>
        <v>379400</v>
      </c>
      <c r="U32" s="258">
        <f t="shared" si="24"/>
        <v>384400</v>
      </c>
      <c r="V32" s="247">
        <f t="shared" si="24"/>
        <v>378900</v>
      </c>
      <c r="W32" s="247">
        <f t="shared" si="24"/>
        <v>370800</v>
      </c>
      <c r="X32" s="247">
        <f t="shared" si="24"/>
        <v>365900</v>
      </c>
      <c r="Y32" s="258">
        <f t="shared" si="24"/>
        <v>354100</v>
      </c>
      <c r="Z32" s="247">
        <f t="shared" si="24"/>
        <v>343500</v>
      </c>
      <c r="AA32" s="247">
        <f t="shared" si="24"/>
        <v>342600</v>
      </c>
      <c r="AB32" s="247">
        <f>+ROUND(AVERAGE(X40:AB40)*1000000/AVERAGE(X27:AB27),-2)</f>
        <v>345900</v>
      </c>
      <c r="AC32" s="258">
        <f t="shared" si="24"/>
        <v>351100</v>
      </c>
      <c r="AD32" s="247">
        <f t="shared" si="24"/>
        <v>363200</v>
      </c>
      <c r="AE32" s="247">
        <f t="shared" si="24"/>
        <v>370600</v>
      </c>
      <c r="AF32" s="247">
        <f t="shared" si="24"/>
        <v>380800</v>
      </c>
      <c r="AG32" s="258">
        <f t="shared" si="24"/>
        <v>384400</v>
      </c>
      <c r="AH32" s="247">
        <f t="shared" si="24"/>
        <v>389200</v>
      </c>
      <c r="AI32" s="247">
        <f t="shared" si="24"/>
        <v>393800</v>
      </c>
      <c r="AJ32" s="247">
        <f t="shared" si="24"/>
        <v>400900</v>
      </c>
      <c r="AK32" s="258">
        <f t="shared" si="24"/>
        <v>412200</v>
      </c>
      <c r="AL32" s="247">
        <f t="shared" si="24"/>
        <v>432400</v>
      </c>
      <c r="AN32" s="247">
        <f>+ROUND(AVERAGE(AN40,C40)*1000000/AVERAGE(AN27,C27),-2)</f>
        <v>340500</v>
      </c>
      <c r="AO32" s="247">
        <f>+H32</f>
        <v>359500</v>
      </c>
      <c r="AP32" s="247">
        <f>+L32</f>
        <v>385600</v>
      </c>
      <c r="AQ32" s="247">
        <f>+P32</f>
        <v>347800</v>
      </c>
      <c r="AR32" s="247">
        <f>+T32</f>
        <v>379400</v>
      </c>
      <c r="AS32" s="247">
        <f>+X32</f>
        <v>365900</v>
      </c>
      <c r="AT32" s="247">
        <f>+AB32</f>
        <v>345900</v>
      </c>
      <c r="AU32" s="247">
        <f>+AF32</f>
        <v>380800</v>
      </c>
      <c r="AV32" s="247">
        <f>+AJ32</f>
        <v>400900</v>
      </c>
    </row>
    <row r="33" spans="2:48" x14ac:dyDescent="0.15">
      <c r="B33" s="7" t="s">
        <v>25</v>
      </c>
      <c r="C33" s="247"/>
      <c r="D33" s="247"/>
      <c r="E33" s="258"/>
      <c r="F33" s="247"/>
      <c r="G33" s="247"/>
      <c r="H33" s="247"/>
      <c r="I33" s="258">
        <f t="shared" ref="I33:AL33" si="25">+I12*1000000/AVERAGE(H27:I27)*4</f>
        <v>1886.7605162419989</v>
      </c>
      <c r="J33" s="247">
        <f t="shared" si="25"/>
        <v>2513.2321318318368</v>
      </c>
      <c r="K33" s="247">
        <f t="shared" si="25"/>
        <v>2138.0505998072695</v>
      </c>
      <c r="L33" s="247">
        <f t="shared" si="25"/>
        <v>2378.9712432250021</v>
      </c>
      <c r="M33" s="258">
        <f t="shared" si="25"/>
        <v>3061.7922488495446</v>
      </c>
      <c r="N33" s="247">
        <f t="shared" si="25"/>
        <v>2957.9818764694046</v>
      </c>
      <c r="O33" s="247">
        <f t="shared" si="25"/>
        <v>2228.0072210923113</v>
      </c>
      <c r="P33" s="247">
        <f t="shared" si="25"/>
        <v>2648.2594206203898</v>
      </c>
      <c r="Q33" s="258">
        <f t="shared" si="25"/>
        <v>3638.1613653653576</v>
      </c>
      <c r="R33" s="247">
        <f t="shared" si="25"/>
        <v>2330.2368417360062</v>
      </c>
      <c r="S33" s="247">
        <f t="shared" si="25"/>
        <v>1929.2887610588673</v>
      </c>
      <c r="T33" s="247">
        <f t="shared" si="25"/>
        <v>2239.9599018938197</v>
      </c>
      <c r="U33" s="258">
        <f t="shared" si="25"/>
        <v>2531.4650922236569</v>
      </c>
      <c r="V33" s="247">
        <f t="shared" si="25"/>
        <v>2343.9439390938601</v>
      </c>
      <c r="W33" s="247">
        <f t="shared" si="25"/>
        <v>2431.3932689837284</v>
      </c>
      <c r="X33" s="247">
        <f t="shared" si="25"/>
        <v>2561.5684916019677</v>
      </c>
      <c r="Y33" s="258">
        <f t="shared" si="25"/>
        <v>2757.8454681675044</v>
      </c>
      <c r="Z33" s="247">
        <f t="shared" si="25"/>
        <v>2250.1833626901744</v>
      </c>
      <c r="AA33" s="247">
        <f t="shared" si="25"/>
        <v>2526.8081965470669</v>
      </c>
      <c r="AB33" s="247">
        <f>+AB12*1000000/AVERAGE(AA27:AB27)*4</f>
        <v>2475.0685511951983</v>
      </c>
      <c r="AC33" s="258">
        <f t="shared" si="25"/>
        <v>2467.9474656155398</v>
      </c>
      <c r="AD33" s="247">
        <f t="shared" si="25"/>
        <v>2533.2331168163219</v>
      </c>
      <c r="AE33" s="247">
        <f t="shared" si="25"/>
        <v>2347.6361946633833</v>
      </c>
      <c r="AF33" s="247">
        <f t="shared" si="25"/>
        <v>2555.6628989351807</v>
      </c>
      <c r="AG33" s="258">
        <f t="shared" si="25"/>
        <v>2792.4712214262922</v>
      </c>
      <c r="AH33" s="247">
        <f t="shared" si="25"/>
        <v>2679.0590917055843</v>
      </c>
      <c r="AI33" s="247">
        <f t="shared" si="25"/>
        <v>2751.8756375921894</v>
      </c>
      <c r="AJ33" s="247">
        <f t="shared" si="25"/>
        <v>2769.0953873196727</v>
      </c>
      <c r="AK33" s="258">
        <f t="shared" si="25"/>
        <v>3140.6323799319921</v>
      </c>
      <c r="AL33" s="247">
        <f t="shared" si="25"/>
        <v>3359.0129611425359</v>
      </c>
      <c r="AN33" s="247">
        <f>+AN12*1000000/AVERAGE(AN27,C27)</f>
        <v>2095.7022594322707</v>
      </c>
      <c r="AO33" s="247">
        <f t="shared" ref="AO33:AV33" si="26">+AO12*1000000/AVERAGE(AN27:AO27)</f>
        <v>2073.036096199141</v>
      </c>
      <c r="AP33" s="247">
        <f t="shared" si="26"/>
        <v>2264.0295829642596</v>
      </c>
      <c r="AQ33" s="247">
        <f t="shared" si="26"/>
        <v>2704.6380867800058</v>
      </c>
      <c r="AR33" s="247">
        <f t="shared" si="26"/>
        <v>2624.6718981538243</v>
      </c>
      <c r="AS33" s="247">
        <f t="shared" si="26"/>
        <v>2468.1524399581431</v>
      </c>
      <c r="AT33" s="247">
        <f t="shared" si="26"/>
        <v>2503.4002059943555</v>
      </c>
      <c r="AU33" s="247">
        <f t="shared" si="26"/>
        <v>2464.2317735054826</v>
      </c>
      <c r="AV33" s="247">
        <f t="shared" si="26"/>
        <v>2749.5391967498563</v>
      </c>
    </row>
    <row r="34" spans="2:48" x14ac:dyDescent="0.15">
      <c r="B34" s="11" t="s">
        <v>307</v>
      </c>
      <c r="C34" s="252"/>
      <c r="D34" s="252"/>
      <c r="E34" s="268"/>
      <c r="F34" s="252"/>
      <c r="G34" s="252"/>
      <c r="H34" s="252">
        <f t="shared" ref="H34:AL34" si="27">SUM(E12:H12)/AVERAGE(D40:H40)</f>
        <v>5.6719746210911158E-3</v>
      </c>
      <c r="I34" s="268">
        <f t="shared" si="27"/>
        <v>5.5446531800179555E-3</v>
      </c>
      <c r="J34" s="252">
        <f t="shared" si="27"/>
        <v>5.6397113379365255E-3</v>
      </c>
      <c r="K34" s="252">
        <f t="shared" si="27"/>
        <v>5.7831460781139453E-3</v>
      </c>
      <c r="L34" s="252">
        <f t="shared" si="27"/>
        <v>5.8252681282106519E-3</v>
      </c>
      <c r="M34" s="268">
        <f t="shared" si="27"/>
        <v>6.8407178158454793E-3</v>
      </c>
      <c r="N34" s="252">
        <f t="shared" si="27"/>
        <v>7.2941040063785401E-3</v>
      </c>
      <c r="O34" s="252">
        <f t="shared" si="27"/>
        <v>7.5848733005973983E-3</v>
      </c>
      <c r="P34" s="252">
        <f t="shared" si="27"/>
        <v>7.7649832524790685E-3</v>
      </c>
      <c r="Q34" s="268">
        <f t="shared" si="27"/>
        <v>8.3122692177215064E-3</v>
      </c>
      <c r="R34" s="252">
        <f t="shared" si="27"/>
        <v>7.5082345409035302E-3</v>
      </c>
      <c r="S34" s="252">
        <f t="shared" si="27"/>
        <v>7.0685622898941768E-3</v>
      </c>
      <c r="T34" s="252">
        <f t="shared" si="27"/>
        <v>6.6166158144611046E-3</v>
      </c>
      <c r="U34" s="268">
        <f t="shared" si="27"/>
        <v>5.9043567542876397E-3</v>
      </c>
      <c r="V34" s="252">
        <f t="shared" si="27"/>
        <v>5.9971425430696158E-3</v>
      </c>
      <c r="W34" s="252">
        <f t="shared" si="27"/>
        <v>6.4488591832442838E-3</v>
      </c>
      <c r="X34" s="252">
        <f t="shared" si="27"/>
        <v>6.7443700394205072E-3</v>
      </c>
      <c r="Y34" s="268">
        <f t="shared" si="27"/>
        <v>7.128573369631859E-3</v>
      </c>
      <c r="Z34" s="252">
        <f t="shared" si="27"/>
        <v>7.2748543205301205E-3</v>
      </c>
      <c r="AA34" s="252">
        <f t="shared" si="27"/>
        <v>7.3617412555533231E-3</v>
      </c>
      <c r="AB34" s="252">
        <f>SUM(Y12:AB12)/AVERAGE(X40:AB40)</f>
        <v>7.2305741642702754E-3</v>
      </c>
      <c r="AC34" s="268">
        <f t="shared" si="27"/>
        <v>6.9139041045839069E-3</v>
      </c>
      <c r="AD34" s="252">
        <f t="shared" si="27"/>
        <v>6.8792945000325963E-3</v>
      </c>
      <c r="AE34" s="252">
        <f t="shared" si="27"/>
        <v>6.6128606400018613E-3</v>
      </c>
      <c r="AF34" s="252">
        <f t="shared" si="27"/>
        <v>6.4978366064322038E-3</v>
      </c>
      <c r="AG34" s="268">
        <f t="shared" si="27"/>
        <v>6.6604812152249457E-3</v>
      </c>
      <c r="AH34" s="299">
        <f t="shared" si="27"/>
        <v>6.6874911565014917E-3</v>
      </c>
      <c r="AI34" s="299">
        <f t="shared" si="27"/>
        <v>6.851291941279725E-3</v>
      </c>
      <c r="AJ34" s="299">
        <f t="shared" si="27"/>
        <v>6.8556348876304789E-3</v>
      </c>
      <c r="AK34" s="268">
        <f t="shared" si="27"/>
        <v>6.8860122943134056E-3</v>
      </c>
      <c r="AL34" s="299">
        <f t="shared" si="27"/>
        <v>6.9665516261976784E-3</v>
      </c>
      <c r="AN34" s="252">
        <f>+AN12/AVERAGE(AN40,C40)</f>
        <v>6.1553769219896415E-3</v>
      </c>
      <c r="AO34" s="252">
        <f>+H34</f>
        <v>5.6719746210911158E-3</v>
      </c>
      <c r="AP34" s="252">
        <f>+L34</f>
        <v>5.8252681282106519E-3</v>
      </c>
      <c r="AQ34" s="252">
        <f>+P34</f>
        <v>7.7649832524790685E-3</v>
      </c>
      <c r="AR34" s="252">
        <f>+T34</f>
        <v>6.6166158144611046E-3</v>
      </c>
      <c r="AS34" s="252">
        <f>+X34</f>
        <v>6.7443700394205072E-3</v>
      </c>
      <c r="AT34" s="252">
        <f>+AB34</f>
        <v>7.2305741642702754E-3</v>
      </c>
      <c r="AU34" s="252">
        <f>+AF34</f>
        <v>6.4978366064322038E-3</v>
      </c>
      <c r="AV34" s="252">
        <f>+AJ34</f>
        <v>6.8556348876304789E-3</v>
      </c>
    </row>
    <row r="35" spans="2:48"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L35" s="215"/>
      <c r="AN35" s="215"/>
      <c r="AO35" s="215"/>
      <c r="AP35" s="215"/>
      <c r="AQ35" s="215"/>
      <c r="AR35" s="215"/>
      <c r="AS35" s="215"/>
      <c r="AT35" s="215"/>
      <c r="AU35" s="215"/>
      <c r="AV35" s="215"/>
    </row>
    <row r="36" spans="2:48"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L36" s="215"/>
      <c r="AN36" s="215"/>
      <c r="AO36" s="215"/>
      <c r="AP36" s="215"/>
      <c r="AQ36" s="215"/>
      <c r="AR36" s="215"/>
      <c r="AS36" s="215"/>
      <c r="AT36" s="215"/>
      <c r="AU36" s="215"/>
      <c r="AV36" s="215"/>
    </row>
    <row r="37" spans="2:48" x14ac:dyDescent="0.15">
      <c r="B37" s="6" t="s">
        <v>29</v>
      </c>
      <c r="C37" s="247"/>
      <c r="D37" s="247">
        <v>18510</v>
      </c>
      <c r="E37" s="258"/>
      <c r="F37" s="247"/>
      <c r="G37" s="247"/>
      <c r="H37" s="247">
        <v>19040</v>
      </c>
      <c r="I37" s="258">
        <v>22850</v>
      </c>
      <c r="J37" s="247">
        <v>35750</v>
      </c>
      <c r="K37" s="247">
        <v>35700</v>
      </c>
      <c r="L37" s="247">
        <v>40060</v>
      </c>
      <c r="M37" s="258">
        <v>26150</v>
      </c>
      <c r="N37" s="247">
        <v>36880</v>
      </c>
      <c r="O37" s="247">
        <v>42790</v>
      </c>
      <c r="P37" s="247">
        <v>57600</v>
      </c>
      <c r="Q37" s="258">
        <v>69690</v>
      </c>
      <c r="R37" s="247">
        <v>72500</v>
      </c>
      <c r="S37" s="247">
        <v>72290</v>
      </c>
      <c r="T37" s="247">
        <v>81230</v>
      </c>
      <c r="U37" s="258">
        <v>85240</v>
      </c>
      <c r="V37" s="247">
        <v>74620</v>
      </c>
      <c r="W37" s="247">
        <v>70750</v>
      </c>
      <c r="X37" s="247">
        <v>75970</v>
      </c>
      <c r="Y37" s="258">
        <v>75610</v>
      </c>
      <c r="Z37" s="247">
        <v>77810</v>
      </c>
      <c r="AA37" s="247">
        <v>79800</v>
      </c>
      <c r="AB37" s="247">
        <v>81020</v>
      </c>
      <c r="AC37" s="258">
        <v>85420</v>
      </c>
      <c r="AD37" s="247">
        <v>93210</v>
      </c>
      <c r="AE37" s="247">
        <v>92270</v>
      </c>
      <c r="AF37" s="247">
        <v>97870</v>
      </c>
      <c r="AG37" s="258">
        <v>94110</v>
      </c>
      <c r="AH37" s="247">
        <v>103720</v>
      </c>
      <c r="AI37" s="247">
        <v>111900</v>
      </c>
      <c r="AJ37" s="247">
        <v>114770</v>
      </c>
      <c r="AK37" s="258">
        <v>125770</v>
      </c>
      <c r="AL37" s="247">
        <v>132890</v>
      </c>
      <c r="AN37" s="247">
        <v>18510</v>
      </c>
      <c r="AO37" s="247">
        <v>19040</v>
      </c>
      <c r="AP37" s="247">
        <f>+L37</f>
        <v>40060</v>
      </c>
      <c r="AQ37" s="247">
        <f>+P37</f>
        <v>57600</v>
      </c>
      <c r="AR37" s="247">
        <f>+T37</f>
        <v>81230</v>
      </c>
      <c r="AS37" s="247">
        <f>+X37</f>
        <v>75970</v>
      </c>
      <c r="AT37" s="247">
        <f>+AB37</f>
        <v>81020</v>
      </c>
      <c r="AU37" s="247">
        <f>+AF37</f>
        <v>97870</v>
      </c>
      <c r="AV37" s="247">
        <f>+AJ37</f>
        <v>114770</v>
      </c>
    </row>
    <row r="38" spans="2:48" x14ac:dyDescent="0.15">
      <c r="B38" s="7" t="s">
        <v>30</v>
      </c>
      <c r="C38" s="247"/>
      <c r="D38" s="247">
        <v>11600</v>
      </c>
      <c r="E38" s="258"/>
      <c r="F38" s="247"/>
      <c r="G38" s="247"/>
      <c r="H38" s="247">
        <v>11200</v>
      </c>
      <c r="I38" s="258">
        <v>13290</v>
      </c>
      <c r="J38" s="247">
        <v>15150</v>
      </c>
      <c r="K38" s="247">
        <v>15880</v>
      </c>
      <c r="L38" s="247">
        <v>17540</v>
      </c>
      <c r="M38" s="258">
        <v>12730</v>
      </c>
      <c r="N38" s="247">
        <v>17110</v>
      </c>
      <c r="O38" s="247">
        <v>18520</v>
      </c>
      <c r="P38" s="247">
        <v>22960</v>
      </c>
      <c r="Q38" s="258">
        <v>29300</v>
      </c>
      <c r="R38" s="247">
        <v>32550</v>
      </c>
      <c r="S38" s="247">
        <v>34860</v>
      </c>
      <c r="T38" s="247">
        <v>38880</v>
      </c>
      <c r="U38" s="258">
        <v>38250</v>
      </c>
      <c r="V38" s="247">
        <v>34430</v>
      </c>
      <c r="W38" s="247">
        <v>32500</v>
      </c>
      <c r="X38" s="247">
        <v>36380</v>
      </c>
      <c r="Y38" s="258">
        <v>38640</v>
      </c>
      <c r="Z38" s="247">
        <v>42720</v>
      </c>
      <c r="AA38" s="247">
        <v>45200</v>
      </c>
      <c r="AB38" s="247">
        <v>48820</v>
      </c>
      <c r="AC38" s="258">
        <v>57970</v>
      </c>
      <c r="AD38" s="247">
        <v>64440</v>
      </c>
      <c r="AE38" s="247">
        <v>67760</v>
      </c>
      <c r="AF38" s="247">
        <v>76190</v>
      </c>
      <c r="AG38" s="258">
        <v>71020</v>
      </c>
      <c r="AH38" s="247">
        <v>75830</v>
      </c>
      <c r="AI38" s="247">
        <v>84700</v>
      </c>
      <c r="AJ38" s="247">
        <v>89730</v>
      </c>
      <c r="AK38" s="258">
        <v>97710</v>
      </c>
      <c r="AL38" s="247">
        <v>113540</v>
      </c>
      <c r="AN38" s="247">
        <v>11600</v>
      </c>
      <c r="AO38" s="247">
        <v>11200</v>
      </c>
      <c r="AP38" s="247">
        <f>+L38</f>
        <v>17540</v>
      </c>
      <c r="AQ38" s="247">
        <f>+P38</f>
        <v>22960</v>
      </c>
      <c r="AR38" s="247">
        <f>+T38</f>
        <v>38880</v>
      </c>
      <c r="AS38" s="247">
        <f>+X38</f>
        <v>36380</v>
      </c>
      <c r="AT38" s="247">
        <f>+AB38</f>
        <v>48820</v>
      </c>
      <c r="AU38" s="247">
        <f>+AF38</f>
        <v>76190</v>
      </c>
      <c r="AV38" s="247">
        <f>+AJ38</f>
        <v>89730</v>
      </c>
    </row>
    <row r="39" spans="2:48" x14ac:dyDescent="0.15">
      <c r="B39" s="11" t="s">
        <v>31</v>
      </c>
      <c r="C39" s="247"/>
      <c r="D39" s="247">
        <v>3750</v>
      </c>
      <c r="E39" s="258"/>
      <c r="F39" s="247"/>
      <c r="G39" s="247"/>
      <c r="H39" s="247">
        <v>4900</v>
      </c>
      <c r="I39" s="258">
        <v>4640</v>
      </c>
      <c r="J39" s="247">
        <v>5960</v>
      </c>
      <c r="K39" s="247">
        <v>6060</v>
      </c>
      <c r="L39" s="247">
        <v>5870</v>
      </c>
      <c r="M39" s="258">
        <v>10630</v>
      </c>
      <c r="N39" s="247">
        <v>9210</v>
      </c>
      <c r="O39" s="247">
        <v>9080</v>
      </c>
      <c r="P39" s="247">
        <v>8730</v>
      </c>
      <c r="Q39" s="258">
        <v>10710</v>
      </c>
      <c r="R39" s="247">
        <v>10570</v>
      </c>
      <c r="S39" s="247">
        <v>12410</v>
      </c>
      <c r="T39" s="247">
        <v>13070</v>
      </c>
      <c r="U39" s="258">
        <v>15080</v>
      </c>
      <c r="V39" s="247">
        <v>15050</v>
      </c>
      <c r="W39" s="247">
        <v>15960</v>
      </c>
      <c r="X39" s="247">
        <v>13290</v>
      </c>
      <c r="Y39" s="258">
        <v>11770</v>
      </c>
      <c r="Z39" s="247">
        <v>11640</v>
      </c>
      <c r="AA39" s="247">
        <v>11130</v>
      </c>
      <c r="AB39" s="247">
        <v>10190</v>
      </c>
      <c r="AC39" s="258">
        <v>9640</v>
      </c>
      <c r="AD39" s="247">
        <v>10520</v>
      </c>
      <c r="AE39" s="247">
        <v>10740</v>
      </c>
      <c r="AF39" s="247">
        <v>11010</v>
      </c>
      <c r="AG39" s="258">
        <v>13880</v>
      </c>
      <c r="AH39" s="247">
        <v>14660</v>
      </c>
      <c r="AI39" s="247">
        <v>14740</v>
      </c>
      <c r="AJ39" s="247">
        <v>14690</v>
      </c>
      <c r="AK39" s="258">
        <v>21940</v>
      </c>
      <c r="AL39" s="247">
        <v>19390</v>
      </c>
      <c r="AN39" s="247">
        <v>3750</v>
      </c>
      <c r="AO39" s="247">
        <v>4900</v>
      </c>
      <c r="AP39" s="247">
        <f>+L39</f>
        <v>5870</v>
      </c>
      <c r="AQ39" s="247">
        <f>+P39</f>
        <v>8730</v>
      </c>
      <c r="AR39" s="247">
        <f>+T39</f>
        <v>13070</v>
      </c>
      <c r="AS39" s="247">
        <f>+X39</f>
        <v>13290</v>
      </c>
      <c r="AT39" s="247">
        <f>+AB39</f>
        <v>10190</v>
      </c>
      <c r="AU39" s="247">
        <f>+AF39</f>
        <v>11010</v>
      </c>
      <c r="AV39" s="247">
        <f>+AJ39</f>
        <v>14690</v>
      </c>
    </row>
    <row r="40" spans="2:48" s="12" customFormat="1" x14ac:dyDescent="0.15">
      <c r="B40" s="12" t="s">
        <v>32</v>
      </c>
      <c r="C40" s="249">
        <v>27390</v>
      </c>
      <c r="D40" s="249">
        <v>33860</v>
      </c>
      <c r="E40" s="259">
        <v>36140</v>
      </c>
      <c r="F40" s="249">
        <v>40270</v>
      </c>
      <c r="G40" s="249">
        <v>42060</v>
      </c>
      <c r="H40" s="249">
        <v>35140</v>
      </c>
      <c r="I40" s="259">
        <f t="shared" ref="I40:P40" si="28">SUM(I37:I39)</f>
        <v>40780</v>
      </c>
      <c r="J40" s="249">
        <f t="shared" si="28"/>
        <v>56860</v>
      </c>
      <c r="K40" s="249">
        <f t="shared" si="28"/>
        <v>57640</v>
      </c>
      <c r="L40" s="249">
        <f t="shared" si="28"/>
        <v>63470</v>
      </c>
      <c r="M40" s="259">
        <f t="shared" si="28"/>
        <v>49510</v>
      </c>
      <c r="N40" s="249">
        <f t="shared" si="28"/>
        <v>63200</v>
      </c>
      <c r="O40" s="249">
        <f t="shared" si="28"/>
        <v>70390</v>
      </c>
      <c r="P40" s="249">
        <f t="shared" si="28"/>
        <v>89290</v>
      </c>
      <c r="Q40" s="259">
        <f t="shared" ref="Q40:W40" si="29">SUM(Q37:Q39)</f>
        <v>109700</v>
      </c>
      <c r="R40" s="249">
        <f t="shared" si="29"/>
        <v>115620</v>
      </c>
      <c r="S40" s="249">
        <f t="shared" si="29"/>
        <v>119560</v>
      </c>
      <c r="T40" s="249">
        <f t="shared" si="29"/>
        <v>133180</v>
      </c>
      <c r="U40" s="259">
        <f t="shared" si="29"/>
        <v>138570</v>
      </c>
      <c r="V40" s="249">
        <f t="shared" si="29"/>
        <v>124100</v>
      </c>
      <c r="W40" s="249">
        <f t="shared" si="29"/>
        <v>119210</v>
      </c>
      <c r="X40" s="249">
        <f t="shared" ref="X40:AL40" si="30">SUM(X37:X39)</f>
        <v>125640</v>
      </c>
      <c r="Y40" s="259">
        <f t="shared" si="30"/>
        <v>126020</v>
      </c>
      <c r="Z40" s="249">
        <f t="shared" si="30"/>
        <v>132170</v>
      </c>
      <c r="AA40" s="249">
        <f t="shared" si="30"/>
        <v>136130</v>
      </c>
      <c r="AB40" s="249">
        <f t="shared" si="30"/>
        <v>140030</v>
      </c>
      <c r="AC40" s="259">
        <f t="shared" si="30"/>
        <v>153030</v>
      </c>
      <c r="AD40" s="249">
        <f t="shared" si="30"/>
        <v>168170</v>
      </c>
      <c r="AE40" s="249">
        <f t="shared" si="30"/>
        <v>170770</v>
      </c>
      <c r="AF40" s="249">
        <f t="shared" si="30"/>
        <v>185070</v>
      </c>
      <c r="AG40" s="259">
        <f t="shared" si="30"/>
        <v>179010</v>
      </c>
      <c r="AH40" s="249">
        <f t="shared" si="30"/>
        <v>194210</v>
      </c>
      <c r="AI40" s="249">
        <f t="shared" si="30"/>
        <v>211340</v>
      </c>
      <c r="AJ40" s="249">
        <f t="shared" si="30"/>
        <v>219190</v>
      </c>
      <c r="AK40" s="259">
        <f t="shared" si="30"/>
        <v>245420</v>
      </c>
      <c r="AL40" s="249">
        <f t="shared" si="30"/>
        <v>265820</v>
      </c>
      <c r="AM40" s="211"/>
      <c r="AN40" s="249">
        <f t="shared" ref="AN40:AS40" si="31">SUM(AN37:AN39)</f>
        <v>33860</v>
      </c>
      <c r="AO40" s="249">
        <f t="shared" si="31"/>
        <v>35140</v>
      </c>
      <c r="AP40" s="249">
        <f t="shared" si="31"/>
        <v>63470</v>
      </c>
      <c r="AQ40" s="249">
        <f t="shared" si="31"/>
        <v>89290</v>
      </c>
      <c r="AR40" s="249">
        <f t="shared" si="31"/>
        <v>133180</v>
      </c>
      <c r="AS40" s="249">
        <f t="shared" si="31"/>
        <v>125640</v>
      </c>
      <c r="AT40" s="249">
        <f>SUM(AT37:AT39)</f>
        <v>140030</v>
      </c>
      <c r="AU40" s="249">
        <f>SUM(AU37:AU39)</f>
        <v>185070</v>
      </c>
      <c r="AV40" s="249">
        <f t="shared" ref="AV40" si="32">SUM(AV37:AV39)</f>
        <v>219190</v>
      </c>
    </row>
    <row r="41" spans="2:48"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L41" s="215"/>
      <c r="AN41" s="215"/>
      <c r="AO41" s="215"/>
      <c r="AP41" s="215"/>
      <c r="AQ41" s="215"/>
      <c r="AR41" s="215"/>
      <c r="AS41" s="215"/>
      <c r="AT41" s="215"/>
      <c r="AU41" s="215"/>
      <c r="AV41" s="215"/>
    </row>
    <row r="42" spans="2:48"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L42" s="215"/>
      <c r="AN42" s="215"/>
      <c r="AO42" s="215"/>
      <c r="AP42" s="215"/>
      <c r="AQ42" s="215"/>
      <c r="AR42" s="215"/>
      <c r="AS42" s="215"/>
      <c r="AT42" s="215"/>
      <c r="AU42" s="215"/>
      <c r="AV42" s="215"/>
    </row>
    <row r="43" spans="2:48" x14ac:dyDescent="0.15">
      <c r="B43" s="11" t="s">
        <v>34</v>
      </c>
      <c r="C43" s="247"/>
      <c r="D43" s="247"/>
      <c r="E43" s="258"/>
      <c r="F43" s="247"/>
      <c r="G43" s="247"/>
      <c r="H43" s="247"/>
      <c r="I43" s="258">
        <v>872.01499999999999</v>
      </c>
      <c r="J43" s="247">
        <v>1487.825</v>
      </c>
      <c r="K43" s="247">
        <v>1499.896</v>
      </c>
      <c r="L43" s="247">
        <v>1728.6410000000001</v>
      </c>
      <c r="M43" s="258">
        <v>861.87199999999996</v>
      </c>
      <c r="N43" s="247">
        <v>1261.5530000000001</v>
      </c>
      <c r="O43" s="247">
        <v>1560.5039999999999</v>
      </c>
      <c r="P43" s="247">
        <v>1931.8050000000001</v>
      </c>
      <c r="Q43" s="258">
        <v>2494.058</v>
      </c>
      <c r="R43" s="247">
        <v>2469.5149999999999</v>
      </c>
      <c r="S43" s="247">
        <v>2373.5250000000001</v>
      </c>
      <c r="T43" s="247">
        <v>2575.029</v>
      </c>
      <c r="U43" s="258">
        <v>2791.8960000000002</v>
      </c>
      <c r="V43" s="247">
        <v>2682.279</v>
      </c>
      <c r="W43" s="247">
        <v>2581.1439999999998</v>
      </c>
      <c r="X43" s="247">
        <v>2820.5770000000002</v>
      </c>
      <c r="Y43" s="258">
        <v>3010.5189999999998</v>
      </c>
      <c r="Z43" s="247">
        <v>3240.654</v>
      </c>
      <c r="AA43" s="247">
        <v>3086.5889999999999</v>
      </c>
      <c r="AB43" s="247">
        <v>3050.0880000000002</v>
      </c>
      <c r="AC43" s="258">
        <v>3457.5050000000001</v>
      </c>
      <c r="AD43" s="247">
        <v>3743.7829999999999</v>
      </c>
      <c r="AE43" s="247">
        <v>3747.7220000000002</v>
      </c>
      <c r="AF43" s="247">
        <v>3703.7330000000002</v>
      </c>
      <c r="AG43" s="258">
        <v>3414.4949999999999</v>
      </c>
      <c r="AH43" s="247">
        <v>3186.6840000000002</v>
      </c>
      <c r="AI43" s="247">
        <v>3871.2939999999999</v>
      </c>
      <c r="AJ43" s="247">
        <v>4149.259</v>
      </c>
      <c r="AK43" s="258">
        <v>4046.9259999999999</v>
      </c>
      <c r="AL43" s="247">
        <v>4305.0410000000002</v>
      </c>
      <c r="AN43" s="247">
        <v>675.56700000000001</v>
      </c>
      <c r="AO43" s="247">
        <v>752.83799999999997</v>
      </c>
      <c r="AP43" s="247">
        <v>1728.6410000000001</v>
      </c>
      <c r="AQ43" s="247">
        <f>+P43</f>
        <v>1931.8050000000001</v>
      </c>
      <c r="AR43" s="247">
        <f>+T43</f>
        <v>2575.029</v>
      </c>
      <c r="AS43" s="247">
        <f>+X43</f>
        <v>2820.5770000000002</v>
      </c>
      <c r="AT43" s="247">
        <f>+AB43</f>
        <v>3050.0880000000002</v>
      </c>
      <c r="AU43" s="247">
        <f>+AF43</f>
        <v>3703.7330000000002</v>
      </c>
      <c r="AV43" s="247">
        <f>+AJ43</f>
        <v>4149.259</v>
      </c>
    </row>
    <row r="44" spans="2:48" x14ac:dyDescent="0.15">
      <c r="B44" s="14" t="s">
        <v>38</v>
      </c>
      <c r="C44" s="247"/>
      <c r="D44" s="247"/>
      <c r="E44" s="258"/>
      <c r="F44" s="247"/>
      <c r="G44" s="247"/>
      <c r="H44" s="247"/>
      <c r="I44" s="258">
        <v>871.97582699999998</v>
      </c>
      <c r="J44" s="247">
        <v>1478.3194900000001</v>
      </c>
      <c r="K44" s="247">
        <v>1496.140283</v>
      </c>
      <c r="L44" s="247">
        <v>1721.2076489999999</v>
      </c>
      <c r="M44" s="258">
        <v>836.85817399999996</v>
      </c>
      <c r="N44" s="247">
        <v>1244.163094</v>
      </c>
      <c r="O44" s="247">
        <v>1542.193178</v>
      </c>
      <c r="P44" s="247">
        <v>1908.1110000000001</v>
      </c>
      <c r="Q44" s="258">
        <v>2454.1930000000002</v>
      </c>
      <c r="R44" s="247">
        <v>2430.7930000000001</v>
      </c>
      <c r="S44" s="247">
        <v>2318.9349999999999</v>
      </c>
      <c r="T44" s="247">
        <v>2525.473</v>
      </c>
      <c r="U44" s="258">
        <v>2719.096</v>
      </c>
      <c r="V44" s="247">
        <v>2604.3620000000001</v>
      </c>
      <c r="W44" s="247">
        <v>2496.9299999999998</v>
      </c>
      <c r="X44" s="247">
        <v>2730.1660000000002</v>
      </c>
      <c r="Y44" s="258">
        <v>2943.069</v>
      </c>
      <c r="Z44" s="247">
        <v>3175.0219999999999</v>
      </c>
      <c r="AA44" s="247">
        <v>3028.7510000000002</v>
      </c>
      <c r="AB44" s="247">
        <v>3001.4769999999999</v>
      </c>
      <c r="AC44" s="258">
        <v>3396.002</v>
      </c>
      <c r="AD44" s="247">
        <v>3680.6640000000002</v>
      </c>
      <c r="AE44" s="247">
        <v>3684.7429999999999</v>
      </c>
      <c r="AF44" s="247">
        <v>3630.6030000000001</v>
      </c>
      <c r="AG44" s="258">
        <v>3336.2710000000002</v>
      </c>
      <c r="AH44" s="247">
        <v>3118.4870000000001</v>
      </c>
      <c r="AI44" s="247">
        <v>3808.1990000000001</v>
      </c>
      <c r="AJ44" s="247">
        <v>4076.6280000000002</v>
      </c>
      <c r="AK44" s="258">
        <v>3929.6030000000001</v>
      </c>
      <c r="AL44" s="247">
        <v>4202.0690000000004</v>
      </c>
      <c r="AN44" s="247">
        <v>675.10800000000006</v>
      </c>
      <c r="AO44" s="247">
        <v>752.83799999999997</v>
      </c>
      <c r="AP44" s="247">
        <v>1721.2076489999999</v>
      </c>
      <c r="AQ44" s="247">
        <f>+P44</f>
        <v>1908.1110000000001</v>
      </c>
      <c r="AR44" s="247">
        <f>+T44</f>
        <v>2525.473</v>
      </c>
      <c r="AS44" s="247">
        <f>+X44</f>
        <v>2730.1660000000002</v>
      </c>
      <c r="AT44" s="247">
        <f>+AB44</f>
        <v>3001.4769999999999</v>
      </c>
      <c r="AU44" s="247">
        <f>+AF44</f>
        <v>3630.6030000000001</v>
      </c>
      <c r="AV44" s="247">
        <f>+AJ44</f>
        <v>4076.6280000000002</v>
      </c>
    </row>
    <row r="45" spans="2:48"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v>2.089</v>
      </c>
      <c r="X45" s="247">
        <v>136.95099999999999</v>
      </c>
      <c r="Y45" s="258">
        <v>328.58100000000002</v>
      </c>
      <c r="Z45" s="247">
        <v>477.37700000000001</v>
      </c>
      <c r="AA45" s="247">
        <v>670.45</v>
      </c>
      <c r="AB45" s="247">
        <v>801.63400000000001</v>
      </c>
      <c r="AC45" s="258">
        <v>829.29200000000003</v>
      </c>
      <c r="AD45" s="247">
        <v>933.97699999999998</v>
      </c>
      <c r="AE45" s="247">
        <v>990.80799999999999</v>
      </c>
      <c r="AF45" s="247">
        <v>1001.504</v>
      </c>
      <c r="AG45" s="258">
        <v>991.25300000000004</v>
      </c>
      <c r="AH45" s="247">
        <v>997.24</v>
      </c>
      <c r="AI45" s="247">
        <v>1176.3030000000001</v>
      </c>
      <c r="AJ45" s="247">
        <v>1495.636</v>
      </c>
      <c r="AK45" s="258">
        <v>1771.4649999999999</v>
      </c>
      <c r="AL45" s="247">
        <v>1965.6949999999999</v>
      </c>
      <c r="AN45" s="247"/>
      <c r="AO45" s="247"/>
      <c r="AP45" s="247"/>
      <c r="AQ45" s="247"/>
      <c r="AR45" s="247"/>
      <c r="AS45" s="247">
        <f>+X45</f>
        <v>136.95099999999999</v>
      </c>
      <c r="AT45" s="247">
        <f>+AB45</f>
        <v>801.63400000000001</v>
      </c>
      <c r="AU45" s="247">
        <f>+AF45</f>
        <v>1001.504</v>
      </c>
      <c r="AV45" s="247">
        <f>+AJ45</f>
        <v>1495.636</v>
      </c>
    </row>
    <row r="46" spans="2:48"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L46" s="247"/>
      <c r="AN46" s="247"/>
      <c r="AO46" s="247"/>
      <c r="AP46" s="247"/>
      <c r="AQ46" s="247"/>
      <c r="AR46" s="247"/>
      <c r="AS46" s="247"/>
      <c r="AT46" s="247"/>
      <c r="AU46" s="247"/>
      <c r="AV46" s="247"/>
    </row>
    <row r="47" spans="2:48" x14ac:dyDescent="0.15">
      <c r="B47" s="219" t="s">
        <v>37</v>
      </c>
      <c r="C47" s="249"/>
      <c r="D47" s="249"/>
      <c r="E47" s="259"/>
      <c r="F47" s="249"/>
      <c r="G47" s="249"/>
      <c r="H47" s="249"/>
      <c r="I47" s="259">
        <f t="shared" ref="I47:W47" si="33">SUM(I45:I46,I43)</f>
        <v>872.01499999999999</v>
      </c>
      <c r="J47" s="249">
        <f t="shared" si="33"/>
        <v>1487.825</v>
      </c>
      <c r="K47" s="249">
        <f t="shared" si="33"/>
        <v>1499.896</v>
      </c>
      <c r="L47" s="249">
        <f t="shared" si="33"/>
        <v>1728.6410000000001</v>
      </c>
      <c r="M47" s="259">
        <f t="shared" si="33"/>
        <v>861.87199999999996</v>
      </c>
      <c r="N47" s="249">
        <f t="shared" si="33"/>
        <v>1261.5530000000001</v>
      </c>
      <c r="O47" s="249">
        <f t="shared" si="33"/>
        <v>1560.5039999999999</v>
      </c>
      <c r="P47" s="249">
        <f t="shared" si="33"/>
        <v>1931.8050000000001</v>
      </c>
      <c r="Q47" s="259">
        <f t="shared" si="33"/>
        <v>2494.058</v>
      </c>
      <c r="R47" s="249">
        <f t="shared" si="33"/>
        <v>2469.5149999999999</v>
      </c>
      <c r="S47" s="249">
        <f t="shared" si="33"/>
        <v>2373.5250000000001</v>
      </c>
      <c r="T47" s="249">
        <f t="shared" si="33"/>
        <v>2575.029</v>
      </c>
      <c r="U47" s="259">
        <f t="shared" si="33"/>
        <v>2791.8960000000002</v>
      </c>
      <c r="V47" s="249">
        <f t="shared" si="33"/>
        <v>2682.279</v>
      </c>
      <c r="W47" s="249">
        <f t="shared" si="33"/>
        <v>2583.2329999999997</v>
      </c>
      <c r="X47" s="249">
        <f t="shared" ref="X47:AD47" si="34">SUM(X45:X46,X43)</f>
        <v>2957.5280000000002</v>
      </c>
      <c r="Y47" s="259">
        <f t="shared" si="34"/>
        <v>3339.1</v>
      </c>
      <c r="Z47" s="249">
        <f t="shared" si="34"/>
        <v>3718.0309999999999</v>
      </c>
      <c r="AA47" s="249">
        <f t="shared" si="34"/>
        <v>3757.0389999999998</v>
      </c>
      <c r="AB47" s="249">
        <f>SUM(AB45:AB46,AB43)</f>
        <v>3851.7220000000002</v>
      </c>
      <c r="AC47" s="259">
        <f t="shared" si="34"/>
        <v>4286.7970000000005</v>
      </c>
      <c r="AD47" s="249">
        <f t="shared" si="34"/>
        <v>4677.76</v>
      </c>
      <c r="AE47" s="249">
        <f t="shared" ref="AE47:AH47" si="35">SUM(AE45:AE46,AE43)</f>
        <v>4738.5300000000007</v>
      </c>
      <c r="AF47" s="249">
        <f t="shared" si="35"/>
        <v>4705.2370000000001</v>
      </c>
      <c r="AG47" s="259">
        <f t="shared" si="35"/>
        <v>4405.7479999999996</v>
      </c>
      <c r="AH47" s="249">
        <f t="shared" si="35"/>
        <v>4183.924</v>
      </c>
      <c r="AI47" s="249">
        <f t="shared" ref="AI47:AL47" si="36">SUM(AI45:AI46,AI43)</f>
        <v>5047.5969999999998</v>
      </c>
      <c r="AJ47" s="249">
        <f t="shared" si="36"/>
        <v>5644.8950000000004</v>
      </c>
      <c r="AK47" s="259">
        <f t="shared" si="36"/>
        <v>5818.3909999999996</v>
      </c>
      <c r="AL47" s="249">
        <f t="shared" si="36"/>
        <v>6270.7359999999999</v>
      </c>
      <c r="AM47" s="244"/>
      <c r="AN47" s="249">
        <f t="shared" ref="AN47:AS47" si="37">SUM(AN45:AN46,AN43)</f>
        <v>675.56700000000001</v>
      </c>
      <c r="AO47" s="249">
        <f t="shared" si="37"/>
        <v>752.83799999999997</v>
      </c>
      <c r="AP47" s="249">
        <f t="shared" si="37"/>
        <v>1728.6410000000001</v>
      </c>
      <c r="AQ47" s="249">
        <f t="shared" si="37"/>
        <v>1931.8050000000001</v>
      </c>
      <c r="AR47" s="249">
        <f t="shared" si="37"/>
        <v>2575.029</v>
      </c>
      <c r="AS47" s="249">
        <f t="shared" si="37"/>
        <v>2957.5280000000002</v>
      </c>
      <c r="AT47" s="249">
        <f>SUM(AT45:AT46,AT43)</f>
        <v>3851.7220000000002</v>
      </c>
      <c r="AU47" s="249">
        <f>SUM(AU45:AU46,AU43)</f>
        <v>4705.2370000000001</v>
      </c>
      <c r="AV47" s="249">
        <f t="shared" ref="AV47" si="38">SUM(AV45:AV46,AV43)</f>
        <v>5644.8950000000004</v>
      </c>
    </row>
    <row r="48" spans="2:48"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L48" s="215"/>
      <c r="AN48" s="215"/>
      <c r="AO48" s="215"/>
      <c r="AP48" s="215"/>
      <c r="AQ48" s="215"/>
      <c r="AR48" s="215"/>
      <c r="AS48" s="215"/>
      <c r="AT48" s="215"/>
      <c r="AU48" s="215"/>
      <c r="AV48" s="215"/>
    </row>
    <row r="49" spans="2:48" x14ac:dyDescent="0.15">
      <c r="B49" s="11" t="s">
        <v>171</v>
      </c>
      <c r="C49" s="250"/>
      <c r="D49" s="250"/>
      <c r="E49" s="262"/>
      <c r="F49" s="250"/>
      <c r="G49" s="250"/>
      <c r="H49" s="250"/>
      <c r="I49" s="262">
        <f>+I39/I40</f>
        <v>0.11378126532614026</v>
      </c>
      <c r="J49" s="250">
        <f t="shared" ref="J49:O49" si="39">+J39/J40</f>
        <v>0.10481885332395358</v>
      </c>
      <c r="K49" s="250">
        <f t="shared" si="39"/>
        <v>0.1051353226925746</v>
      </c>
      <c r="L49" s="250">
        <f t="shared" si="39"/>
        <v>9.2484638411848119E-2</v>
      </c>
      <c r="M49" s="262">
        <f t="shared" si="39"/>
        <v>0.21470410018178146</v>
      </c>
      <c r="N49" s="250">
        <f t="shared" si="39"/>
        <v>0.14572784810126582</v>
      </c>
      <c r="O49" s="250">
        <f t="shared" si="39"/>
        <v>0.128995595965336</v>
      </c>
      <c r="P49" s="250">
        <f t="shared" ref="P49:W49" si="40">+P39/P40</f>
        <v>9.7771306977265091E-2</v>
      </c>
      <c r="Q49" s="262">
        <f t="shared" si="40"/>
        <v>9.7629899726526886E-2</v>
      </c>
      <c r="R49" s="250">
        <f t="shared" si="40"/>
        <v>9.1420169520844141E-2</v>
      </c>
      <c r="S49" s="250">
        <f t="shared" si="40"/>
        <v>0.10379725660756106</v>
      </c>
      <c r="T49" s="250">
        <f t="shared" si="40"/>
        <v>9.8137858537317921E-2</v>
      </c>
      <c r="U49" s="262">
        <f t="shared" si="40"/>
        <v>0.10882586418416684</v>
      </c>
      <c r="V49" s="250">
        <f t="shared" si="40"/>
        <v>0.12127316680096696</v>
      </c>
      <c r="W49" s="250">
        <f t="shared" si="40"/>
        <v>0.13388138578978273</v>
      </c>
      <c r="X49" s="250">
        <f t="shared" ref="X49:AD49" si="41">+X39/X40</f>
        <v>0.10577841451766953</v>
      </c>
      <c r="Y49" s="262">
        <f t="shared" si="41"/>
        <v>9.3397873353435967E-2</v>
      </c>
      <c r="Z49" s="250">
        <f t="shared" si="41"/>
        <v>8.8068396761746243E-2</v>
      </c>
      <c r="AA49" s="250">
        <f t="shared" si="41"/>
        <v>8.1760082274296625E-2</v>
      </c>
      <c r="AB49" s="250">
        <f t="shared" si="41"/>
        <v>7.2770120688423909E-2</v>
      </c>
      <c r="AC49" s="262">
        <f t="shared" si="41"/>
        <v>6.2994184146899307E-2</v>
      </c>
      <c r="AD49" s="250">
        <f t="shared" si="41"/>
        <v>6.2555747160611283E-2</v>
      </c>
      <c r="AE49" s="250">
        <f t="shared" ref="AE49:AG49" si="42">+AE39/AE40</f>
        <v>6.2891608596357673E-2</v>
      </c>
      <c r="AF49" s="250">
        <f t="shared" si="42"/>
        <v>5.9491003404117358E-2</v>
      </c>
      <c r="AG49" s="262">
        <f t="shared" si="42"/>
        <v>7.7537567733646159E-2</v>
      </c>
      <c r="AH49" s="296">
        <f t="shared" ref="AH49:AI49" si="43">+AH39/AH40</f>
        <v>7.5485299418155599E-2</v>
      </c>
      <c r="AI49" s="296">
        <f t="shared" si="43"/>
        <v>6.9745433897984294E-2</v>
      </c>
      <c r="AJ49" s="296">
        <f t="shared" ref="AJ49:AL49" si="44">+AJ39/AJ40</f>
        <v>6.7019480815730642E-2</v>
      </c>
      <c r="AK49" s="262">
        <f t="shared" si="44"/>
        <v>8.9397767093146438E-2</v>
      </c>
      <c r="AL49" s="296">
        <f t="shared" si="44"/>
        <v>7.2944097509592964E-2</v>
      </c>
      <c r="AN49" s="250">
        <f t="shared" ref="AN49:AS49" si="45">+AN39/AN40</f>
        <v>0.11075014766686356</v>
      </c>
      <c r="AO49" s="250">
        <f t="shared" si="45"/>
        <v>0.1394422310756972</v>
      </c>
      <c r="AP49" s="250">
        <f t="shared" si="45"/>
        <v>9.2484638411848119E-2</v>
      </c>
      <c r="AQ49" s="250">
        <f t="shared" si="45"/>
        <v>9.7771306977265091E-2</v>
      </c>
      <c r="AR49" s="250">
        <f t="shared" si="45"/>
        <v>9.8137858537317921E-2</v>
      </c>
      <c r="AS49" s="250">
        <f t="shared" si="45"/>
        <v>0.10577841451766953</v>
      </c>
      <c r="AT49" s="250">
        <f>+AT39/AT40</f>
        <v>7.2770120688423909E-2</v>
      </c>
      <c r="AU49" s="250">
        <f>+AU39/AU40</f>
        <v>5.9491003404117358E-2</v>
      </c>
      <c r="AV49" s="250">
        <f t="shared" ref="AV49" si="46">+AV39/AV40</f>
        <v>6.7019480815730642E-2</v>
      </c>
    </row>
    <row r="50" spans="2:48" x14ac:dyDescent="0.15">
      <c r="B50" s="7" t="s">
        <v>40</v>
      </c>
      <c r="C50" s="250"/>
      <c r="D50" s="250"/>
      <c r="E50" s="262"/>
      <c r="F50" s="250"/>
      <c r="G50" s="250"/>
      <c r="H50" s="250"/>
      <c r="I50" s="262">
        <f>+I47/I39</f>
        <v>0.18793426724137929</v>
      </c>
      <c r="J50" s="250">
        <f t="shared" ref="J50:O50" si="47">+J47/J39</f>
        <v>0.24963506711409397</v>
      </c>
      <c r="K50" s="250">
        <f t="shared" si="47"/>
        <v>0.24750759075907591</v>
      </c>
      <c r="L50" s="250">
        <f t="shared" si="47"/>
        <v>0.29448739352640546</v>
      </c>
      <c r="M50" s="262">
        <f t="shared" si="47"/>
        <v>8.1079209783631229E-2</v>
      </c>
      <c r="N50" s="250">
        <f t="shared" si="47"/>
        <v>0.13697643865363737</v>
      </c>
      <c r="O50" s="250">
        <f t="shared" si="47"/>
        <v>0.17186167400881056</v>
      </c>
      <c r="P50" s="250">
        <f t="shared" ref="P50:W50" si="48">+P47/P39</f>
        <v>0.22128350515463918</v>
      </c>
      <c r="Q50" s="262">
        <f t="shared" si="48"/>
        <v>0.23287189542483661</v>
      </c>
      <c r="R50" s="250">
        <f t="shared" si="48"/>
        <v>0.23363434247871331</v>
      </c>
      <c r="S50" s="250">
        <f t="shared" si="48"/>
        <v>0.1912590652699436</v>
      </c>
      <c r="T50" s="250">
        <f t="shared" si="48"/>
        <v>0.19701828615149197</v>
      </c>
      <c r="U50" s="262">
        <f t="shared" si="48"/>
        <v>0.18513899204244033</v>
      </c>
      <c r="V50" s="250">
        <f t="shared" si="48"/>
        <v>0.17822451827242525</v>
      </c>
      <c r="W50" s="250">
        <f t="shared" si="48"/>
        <v>0.1618567042606516</v>
      </c>
      <c r="X50" s="250">
        <f t="shared" ref="X50:AD50" si="49">+X47/X39</f>
        <v>0.22253784800601958</v>
      </c>
      <c r="Y50" s="262">
        <f t="shared" si="49"/>
        <v>0.28369583687340694</v>
      </c>
      <c r="Z50" s="250">
        <f t="shared" si="49"/>
        <v>0.319418470790378</v>
      </c>
      <c r="AA50" s="250">
        <f t="shared" si="49"/>
        <v>0.33755965858041326</v>
      </c>
      <c r="AB50" s="250">
        <f t="shared" si="49"/>
        <v>0.37799038272816488</v>
      </c>
      <c r="AC50" s="262">
        <f t="shared" si="49"/>
        <v>0.44468848547717849</v>
      </c>
      <c r="AD50" s="250">
        <f t="shared" si="49"/>
        <v>0.44465399239543729</v>
      </c>
      <c r="AE50" s="250">
        <f t="shared" ref="AE50:AG50" si="50">+AE47/AE39</f>
        <v>0.44120391061452519</v>
      </c>
      <c r="AF50" s="250">
        <f t="shared" si="50"/>
        <v>0.42736030881017256</v>
      </c>
      <c r="AG50" s="262">
        <f t="shared" si="50"/>
        <v>0.31741700288184432</v>
      </c>
      <c r="AH50" s="296">
        <f t="shared" ref="AH50:AI50" si="51">+AH47/AH39</f>
        <v>0.28539727148703958</v>
      </c>
      <c r="AI50" s="296">
        <f t="shared" si="51"/>
        <v>0.3424421302578019</v>
      </c>
      <c r="AJ50" s="296">
        <f t="shared" ref="AJ50:AL50" si="52">+AJ47/AJ39</f>
        <v>0.38426786929884277</v>
      </c>
      <c r="AK50" s="262">
        <f t="shared" si="52"/>
        <v>0.26519557885141293</v>
      </c>
      <c r="AL50" s="296">
        <f t="shared" si="52"/>
        <v>0.32340051572975759</v>
      </c>
      <c r="AN50" s="250">
        <f t="shared" ref="AN50:AS50" si="53">+AN47/AN39</f>
        <v>0.18015120000000001</v>
      </c>
      <c r="AO50" s="250">
        <f t="shared" si="53"/>
        <v>0.1536404081632653</v>
      </c>
      <c r="AP50" s="250">
        <f t="shared" si="53"/>
        <v>0.29448739352640546</v>
      </c>
      <c r="AQ50" s="250">
        <f t="shared" si="53"/>
        <v>0.22128350515463918</v>
      </c>
      <c r="AR50" s="250">
        <f t="shared" si="53"/>
        <v>0.19701828615149197</v>
      </c>
      <c r="AS50" s="250">
        <f t="shared" si="53"/>
        <v>0.22253784800601958</v>
      </c>
      <c r="AT50" s="250">
        <f>+AT47/AT39</f>
        <v>0.37799038272816488</v>
      </c>
      <c r="AU50" s="250">
        <f>+AU47/AU39</f>
        <v>0.42736030881017256</v>
      </c>
      <c r="AV50" s="250">
        <f t="shared" ref="AV50" si="54">+AV47/AV39</f>
        <v>0.38426786929884277</v>
      </c>
    </row>
    <row r="51" spans="2:48"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L51" s="215"/>
      <c r="AN51" s="215"/>
      <c r="AO51" s="215"/>
      <c r="AP51" s="215"/>
      <c r="AQ51" s="215"/>
      <c r="AR51" s="215"/>
      <c r="AS51" s="215"/>
      <c r="AT51" s="215"/>
      <c r="AU51" s="215"/>
      <c r="AV51" s="215"/>
    </row>
    <row r="52" spans="2:48"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L52" s="215"/>
      <c r="AN52" s="215"/>
      <c r="AO52" s="215"/>
      <c r="AP52" s="215"/>
      <c r="AQ52" s="215"/>
      <c r="AR52" s="215"/>
      <c r="AS52" s="215"/>
      <c r="AT52" s="215"/>
      <c r="AU52" s="215"/>
      <c r="AV52" s="215"/>
    </row>
    <row r="53" spans="2:48" x14ac:dyDescent="0.15">
      <c r="B53" s="8" t="s">
        <v>43</v>
      </c>
      <c r="C53" s="247"/>
      <c r="D53" s="247"/>
      <c r="E53" s="258"/>
      <c r="F53" s="247"/>
      <c r="G53" s="247"/>
      <c r="H53" s="247"/>
      <c r="I53" s="258">
        <v>1063800</v>
      </c>
      <c r="J53" s="247">
        <v>1273500</v>
      </c>
      <c r="K53" s="247">
        <v>1412600</v>
      </c>
      <c r="L53" s="247">
        <v>1476600</v>
      </c>
      <c r="M53" s="258">
        <v>2797700</v>
      </c>
      <c r="N53" s="247">
        <v>3534600</v>
      </c>
      <c r="O53" s="247">
        <v>2967300</v>
      </c>
      <c r="P53" s="247">
        <v>4146300</v>
      </c>
      <c r="Q53" s="258">
        <v>5979400</v>
      </c>
      <c r="R53" s="247">
        <v>3885600</v>
      </c>
      <c r="S53" s="247">
        <v>3377700</v>
      </c>
      <c r="T53" s="247">
        <v>3535900</v>
      </c>
      <c r="U53" s="258">
        <v>3882600</v>
      </c>
      <c r="V53" s="247">
        <v>3109900</v>
      </c>
      <c r="W53" s="247">
        <v>2911700</v>
      </c>
      <c r="X53" s="247">
        <v>2636300</v>
      </c>
      <c r="Y53" s="258">
        <v>3268000</v>
      </c>
      <c r="Z53" s="247">
        <v>2216600</v>
      </c>
      <c r="AA53" s="247">
        <v>2546400</v>
      </c>
      <c r="AB53" s="247">
        <v>2618500</v>
      </c>
      <c r="AC53" s="258">
        <v>2730700</v>
      </c>
      <c r="AD53" s="247">
        <v>2604300</v>
      </c>
      <c r="AE53" s="247">
        <v>2526400</v>
      </c>
      <c r="AF53" s="247">
        <v>2686800</v>
      </c>
      <c r="AG53" s="258">
        <v>3106300</v>
      </c>
      <c r="AH53" s="247">
        <v>3051200</v>
      </c>
      <c r="AI53" s="247">
        <v>3216200</v>
      </c>
      <c r="AJ53" s="247">
        <v>3092600</v>
      </c>
      <c r="AK53" s="258">
        <v>3927800</v>
      </c>
      <c r="AL53" s="247">
        <v>3749200</v>
      </c>
      <c r="AN53" s="247">
        <v>3978100</v>
      </c>
      <c r="AO53" s="247">
        <v>4211100</v>
      </c>
      <c r="AP53" s="247">
        <f>SUM(I53:L53)</f>
        <v>5226500</v>
      </c>
      <c r="AQ53" s="247">
        <f>SUM(M53:P53)</f>
        <v>13445900</v>
      </c>
      <c r="AR53" s="247">
        <f>SUM(Q53:T53)</f>
        <v>16778600</v>
      </c>
      <c r="AS53" s="247">
        <f>SUM(U53:X53)</f>
        <v>12540500</v>
      </c>
      <c r="AT53" s="247">
        <f>SUM(Y53:AB53)</f>
        <v>10649500</v>
      </c>
      <c r="AU53" s="247">
        <f>SUM(AC53:AF53)</f>
        <v>10548200</v>
      </c>
      <c r="AV53" s="247">
        <f>SUM(AG53:AJ53)</f>
        <v>12466300</v>
      </c>
    </row>
    <row r="54" spans="2:48" x14ac:dyDescent="0.15">
      <c r="B54" s="8" t="s">
        <v>396</v>
      </c>
      <c r="C54" s="247"/>
      <c r="D54" s="247"/>
      <c r="E54" s="258"/>
      <c r="F54" s="247"/>
      <c r="G54" s="247"/>
      <c r="H54" s="247"/>
      <c r="I54" s="258">
        <v>301100</v>
      </c>
      <c r="J54" s="247">
        <v>254400</v>
      </c>
      <c r="K54" s="247">
        <v>299300</v>
      </c>
      <c r="L54" s="247">
        <v>331100</v>
      </c>
      <c r="M54" s="258">
        <v>650000</v>
      </c>
      <c r="N54" s="247">
        <v>738300</v>
      </c>
      <c r="O54" s="247">
        <v>801600</v>
      </c>
      <c r="P54" s="247">
        <v>945500</v>
      </c>
      <c r="Q54" s="258">
        <v>1817200</v>
      </c>
      <c r="R54" s="247">
        <v>1268100</v>
      </c>
      <c r="S54" s="247">
        <v>1155300</v>
      </c>
      <c r="T54" s="247">
        <v>1341500</v>
      </c>
      <c r="U54" s="258">
        <v>1147800</v>
      </c>
      <c r="V54" s="247">
        <v>911000</v>
      </c>
      <c r="W54" s="247">
        <v>859300</v>
      </c>
      <c r="X54" s="247">
        <v>729000</v>
      </c>
      <c r="Y54" s="258">
        <v>848900</v>
      </c>
      <c r="Z54" s="247">
        <v>641800</v>
      </c>
      <c r="AA54" s="247">
        <v>759400</v>
      </c>
      <c r="AB54" s="247">
        <v>625200</v>
      </c>
      <c r="AC54" s="258">
        <v>727100</v>
      </c>
      <c r="AD54" s="247">
        <v>769600</v>
      </c>
      <c r="AE54" s="247">
        <v>720000</v>
      </c>
      <c r="AF54" s="247">
        <v>854900</v>
      </c>
      <c r="AG54" s="258">
        <v>1048300</v>
      </c>
      <c r="AH54" s="247">
        <v>995300</v>
      </c>
      <c r="AI54" s="247">
        <v>1256500</v>
      </c>
      <c r="AJ54" s="247">
        <v>1410300</v>
      </c>
      <c r="AK54" s="258">
        <v>1551500</v>
      </c>
      <c r="AL54" s="247">
        <v>1636700</v>
      </c>
      <c r="AN54" s="247">
        <v>894700</v>
      </c>
      <c r="AO54" s="247">
        <v>981000</v>
      </c>
      <c r="AP54" s="247">
        <f>SUM(I54:L54)</f>
        <v>1185900</v>
      </c>
      <c r="AQ54" s="247">
        <f>SUM(M54:P54)</f>
        <v>3135400</v>
      </c>
      <c r="AR54" s="247">
        <f>SUM(Q54:T54)</f>
        <v>5582100</v>
      </c>
      <c r="AS54" s="247">
        <f>SUM(U54:X54)</f>
        <v>3647100</v>
      </c>
      <c r="AT54" s="247">
        <f>SUM(Y54:AB54)</f>
        <v>2875300</v>
      </c>
      <c r="AU54" s="247">
        <f>SUM(AC54:AF54)</f>
        <v>3071600</v>
      </c>
      <c r="AV54" s="247">
        <f>SUM(AG54:AJ54)</f>
        <v>4710400</v>
      </c>
    </row>
    <row r="55" spans="2:48" x14ac:dyDescent="0.15">
      <c r="B55" s="6" t="s">
        <v>45</v>
      </c>
      <c r="C55" s="247"/>
      <c r="D55" s="247"/>
      <c r="E55" s="258"/>
      <c r="F55" s="247"/>
      <c r="G55" s="247"/>
      <c r="H55" s="247"/>
      <c r="I55" s="258">
        <v>27392.404783999998</v>
      </c>
      <c r="J55" s="247">
        <v>39846.162992805097</v>
      </c>
      <c r="K55" s="247">
        <v>39941.849891999998</v>
      </c>
      <c r="L55" s="247">
        <v>40067.713359000001</v>
      </c>
      <c r="M55" s="258">
        <v>75143.860565026625</v>
      </c>
      <c r="N55" s="247">
        <v>81271.715521000006</v>
      </c>
      <c r="O55" s="247">
        <v>69188.823967999997</v>
      </c>
      <c r="P55" s="247">
        <v>92400</v>
      </c>
      <c r="Q55" s="258">
        <v>138700</v>
      </c>
      <c r="R55" s="247">
        <v>95000</v>
      </c>
      <c r="S55" s="247">
        <v>79000</v>
      </c>
      <c r="T55" s="247">
        <v>93000</v>
      </c>
      <c r="U55" s="258">
        <v>121600</v>
      </c>
      <c r="V55" s="247">
        <v>98600</v>
      </c>
      <c r="W55" s="247">
        <v>95400</v>
      </c>
      <c r="X55" s="247">
        <v>85800</v>
      </c>
      <c r="Y55" s="258">
        <v>100000</v>
      </c>
      <c r="Z55" s="247">
        <v>57600</v>
      </c>
      <c r="AA55" s="247">
        <v>69800</v>
      </c>
      <c r="AB55" s="247">
        <v>72300</v>
      </c>
      <c r="AC55" s="258">
        <v>75400</v>
      </c>
      <c r="AD55" s="247">
        <v>75100</v>
      </c>
      <c r="AE55" s="247">
        <v>67500</v>
      </c>
      <c r="AF55" s="247">
        <v>72700</v>
      </c>
      <c r="AG55" s="258">
        <v>89700</v>
      </c>
      <c r="AH55" s="247">
        <v>85600</v>
      </c>
      <c r="AI55" s="247">
        <v>91200</v>
      </c>
      <c r="AJ55" s="247">
        <v>94200</v>
      </c>
      <c r="AK55" s="258">
        <v>144200</v>
      </c>
      <c r="AL55" s="247">
        <v>134100</v>
      </c>
      <c r="AN55" s="247">
        <v>108036</v>
      </c>
      <c r="AO55" s="247">
        <v>119732.98494900001</v>
      </c>
      <c r="AP55" s="247">
        <f>SUM(I55:L55)</f>
        <v>147248.1310278051</v>
      </c>
      <c r="AQ55" s="247">
        <f>SUM(M55:P55)</f>
        <v>318004.40005402663</v>
      </c>
      <c r="AR55" s="247">
        <f>SUM(Q55:T55)</f>
        <v>405700</v>
      </c>
      <c r="AS55" s="247">
        <f>SUM(U55:X55)</f>
        <v>401400</v>
      </c>
      <c r="AT55" s="247">
        <f>SUM(Y55:AB55)</f>
        <v>299700</v>
      </c>
      <c r="AU55" s="247">
        <f>SUM(AC55:AF55)</f>
        <v>290700</v>
      </c>
      <c r="AV55" s="247">
        <f>SUM(AG55:AJ55)</f>
        <v>360700</v>
      </c>
    </row>
    <row r="56" spans="2:48" x14ac:dyDescent="0.15">
      <c r="B56" s="8" t="s">
        <v>395</v>
      </c>
      <c r="C56" s="247"/>
      <c r="D56" s="247"/>
      <c r="E56" s="258"/>
      <c r="F56" s="247"/>
      <c r="G56" s="247"/>
      <c r="H56" s="247"/>
      <c r="I56" s="258">
        <v>6100</v>
      </c>
      <c r="J56" s="247">
        <v>6900</v>
      </c>
      <c r="K56" s="247">
        <v>7900</v>
      </c>
      <c r="L56" s="247">
        <v>8100</v>
      </c>
      <c r="M56" s="258">
        <v>17300</v>
      </c>
      <c r="N56" s="247">
        <v>18600</v>
      </c>
      <c r="O56" s="247">
        <v>20200</v>
      </c>
      <c r="P56" s="247">
        <v>25500</v>
      </c>
      <c r="Q56" s="258">
        <v>45500</v>
      </c>
      <c r="R56" s="247">
        <v>32400</v>
      </c>
      <c r="S56" s="247">
        <v>22200</v>
      </c>
      <c r="T56" s="247">
        <v>29800</v>
      </c>
      <c r="U56" s="258">
        <v>31100</v>
      </c>
      <c r="V56" s="247">
        <v>22300</v>
      </c>
      <c r="W56" s="247">
        <v>20800</v>
      </c>
      <c r="X56" s="247">
        <v>18900</v>
      </c>
      <c r="Y56" s="258">
        <v>20600</v>
      </c>
      <c r="Z56" s="247">
        <v>12600</v>
      </c>
      <c r="AA56" s="247">
        <v>14000</v>
      </c>
      <c r="AB56" s="247">
        <v>13600</v>
      </c>
      <c r="AC56" s="258">
        <v>17200</v>
      </c>
      <c r="AD56" s="247">
        <v>18100</v>
      </c>
      <c r="AE56" s="247">
        <v>16800</v>
      </c>
      <c r="AF56" s="247">
        <v>22200</v>
      </c>
      <c r="AG56" s="258">
        <v>29300</v>
      </c>
      <c r="AH56" s="247">
        <v>26500</v>
      </c>
      <c r="AI56" s="247">
        <v>31800</v>
      </c>
      <c r="AJ56" s="247">
        <v>36900</v>
      </c>
      <c r="AK56" s="258">
        <v>46700</v>
      </c>
      <c r="AL56" s="247">
        <v>46600</v>
      </c>
      <c r="AN56" s="247">
        <v>22300</v>
      </c>
      <c r="AO56" s="247">
        <v>24100</v>
      </c>
      <c r="AP56" s="247">
        <f t="shared" ref="AP56" si="55">SUM(I56:L56)</f>
        <v>29000</v>
      </c>
      <c r="AQ56" s="247">
        <f t="shared" ref="AQ56" si="56">SUM(M56:P56)</f>
        <v>81600</v>
      </c>
      <c r="AR56" s="247">
        <f t="shared" ref="AR56" si="57">SUM(Q56:T56)</f>
        <v>129900</v>
      </c>
      <c r="AS56" s="247">
        <f t="shared" ref="AS56" si="58">SUM(U56:X56)</f>
        <v>93100</v>
      </c>
      <c r="AT56" s="247">
        <f t="shared" ref="AT56" si="59">SUM(Y56:AB56)</f>
        <v>60800</v>
      </c>
      <c r="AU56" s="247">
        <f t="shared" ref="AU56" si="60">SUM(AC56:AF56)</f>
        <v>74300</v>
      </c>
      <c r="AV56" s="247">
        <f t="shared" ref="AV56" si="61">SUM(AG56:AJ56)</f>
        <v>124500</v>
      </c>
    </row>
    <row r="57" spans="2:48" x14ac:dyDescent="0.15">
      <c r="B57" s="11" t="s">
        <v>46</v>
      </c>
      <c r="C57" s="247"/>
      <c r="D57" s="247"/>
      <c r="E57" s="258"/>
      <c r="F57" s="247"/>
      <c r="G57" s="247"/>
      <c r="H57" s="247"/>
      <c r="I57" s="258">
        <v>63</v>
      </c>
      <c r="J57" s="247">
        <v>55.5</v>
      </c>
      <c r="K57" s="247">
        <v>66</v>
      </c>
      <c r="L57" s="247">
        <v>61</v>
      </c>
      <c r="M57" s="258">
        <v>64</v>
      </c>
      <c r="N57" s="247">
        <v>58.5</v>
      </c>
      <c r="O57" s="247">
        <v>66</v>
      </c>
      <c r="P57" s="247">
        <v>63</v>
      </c>
      <c r="Q57" s="258">
        <v>62.5</v>
      </c>
      <c r="R57" s="247">
        <v>59</v>
      </c>
      <c r="S57" s="247">
        <v>66</v>
      </c>
      <c r="T57" s="247">
        <v>64</v>
      </c>
      <c r="U57" s="258">
        <v>64</v>
      </c>
      <c r="V57" s="247">
        <v>58.5</v>
      </c>
      <c r="W57" s="247">
        <v>66</v>
      </c>
      <c r="X57" s="247">
        <v>64</v>
      </c>
      <c r="Y57" s="258">
        <v>65</v>
      </c>
      <c r="Z57" s="247">
        <v>57.5</v>
      </c>
      <c r="AA57" s="247">
        <v>65</v>
      </c>
      <c r="AB57" s="247">
        <v>63</v>
      </c>
      <c r="AC57" s="258">
        <v>61.5</v>
      </c>
      <c r="AD57" s="247">
        <v>60</v>
      </c>
      <c r="AE57" s="247">
        <v>66</v>
      </c>
      <c r="AF57" s="247">
        <v>62</v>
      </c>
      <c r="AG57" s="258">
        <v>63</v>
      </c>
      <c r="AH57" s="247">
        <v>58.5</v>
      </c>
      <c r="AI57" s="247">
        <v>66</v>
      </c>
      <c r="AJ57" s="247">
        <v>62</v>
      </c>
      <c r="AK57" s="258">
        <v>63</v>
      </c>
      <c r="AL57" s="247">
        <v>59.5</v>
      </c>
      <c r="AN57" s="247">
        <v>251</v>
      </c>
      <c r="AO57" s="247">
        <v>247</v>
      </c>
      <c r="AP57" s="247">
        <f>SUM(I57:L57)</f>
        <v>245.5</v>
      </c>
      <c r="AQ57" s="247">
        <f>SUM(M57:P57)</f>
        <v>251.5</v>
      </c>
      <c r="AR57" s="247">
        <f>SUM(Q57:T57)</f>
        <v>251.5</v>
      </c>
      <c r="AS57" s="247">
        <f>SUM(U57:X57)</f>
        <v>252.5</v>
      </c>
      <c r="AT57" s="247">
        <f>SUM(Y57:AB57)</f>
        <v>250.5</v>
      </c>
      <c r="AU57" s="247">
        <f>SUM(AC57:AF57)</f>
        <v>249.5</v>
      </c>
      <c r="AV57" s="247">
        <f>SUM(AG57:AJ57)</f>
        <v>249.5</v>
      </c>
    </row>
    <row r="58" spans="2:48" x14ac:dyDescent="0.15">
      <c r="B58" s="11" t="s">
        <v>47</v>
      </c>
      <c r="C58" s="254"/>
      <c r="D58" s="254"/>
      <c r="E58" s="265"/>
      <c r="F58" s="254"/>
      <c r="G58" s="254"/>
      <c r="H58" s="254"/>
      <c r="I58" s="265">
        <f t="shared" ref="I58:AL58" si="62">+I53/I57/AVERAGE(H27:I27)</f>
        <v>0.14949724909884274</v>
      </c>
      <c r="J58" s="254">
        <f t="shared" si="62"/>
        <v>0.18089038979854904</v>
      </c>
      <c r="K58" s="254">
        <f t="shared" si="62"/>
        <v>0.15168696175074631</v>
      </c>
      <c r="L58" s="254">
        <f t="shared" si="62"/>
        <v>0.16472648776488044</v>
      </c>
      <c r="M58" s="265">
        <f t="shared" si="62"/>
        <v>0.26876152782047341</v>
      </c>
      <c r="N58" s="254">
        <f t="shared" si="62"/>
        <v>0.32677400119260586</v>
      </c>
      <c r="O58" s="254">
        <f t="shared" si="62"/>
        <v>0.22191061653055733</v>
      </c>
      <c r="P58" s="254">
        <f t="shared" si="62"/>
        <v>0.29539625545011539</v>
      </c>
      <c r="Q58" s="265">
        <f t="shared" si="62"/>
        <v>0.3654331550802139</v>
      </c>
      <c r="R58" s="254">
        <f t="shared" si="62"/>
        <v>0.21978183587066269</v>
      </c>
      <c r="S58" s="254">
        <f t="shared" si="62"/>
        <v>0.16121364853448647</v>
      </c>
      <c r="T58" s="254">
        <f t="shared" si="62"/>
        <v>0.16724212955955806</v>
      </c>
      <c r="U58" s="265">
        <f t="shared" si="62"/>
        <v>0.17816629955947136</v>
      </c>
      <c r="V58" s="254">
        <f t="shared" si="62"/>
        <v>0.15324498057274072</v>
      </c>
      <c r="W58" s="254">
        <f t="shared" si="62"/>
        <v>0.12487027078026228</v>
      </c>
      <c r="X58" s="254">
        <f t="shared" si="62"/>
        <v>0.11434333795975017</v>
      </c>
      <c r="Y58" s="265">
        <f t="shared" si="62"/>
        <v>0.13619645964221341</v>
      </c>
      <c r="Z58" s="254">
        <f t="shared" si="62"/>
        <v>0.10205047046298162</v>
      </c>
      <c r="AA58" s="254">
        <f t="shared" si="62"/>
        <v>0.10168821444616383</v>
      </c>
      <c r="AB58" s="254">
        <f>+AB53/AB57/AVERAGE(AA27:AB27)</f>
        <v>0.10538410766605492</v>
      </c>
      <c r="AC58" s="265">
        <f t="shared" si="62"/>
        <v>0.10932322052507734</v>
      </c>
      <c r="AD58" s="254">
        <f t="shared" si="62"/>
        <v>0.10344375595805529</v>
      </c>
      <c r="AE58" s="254">
        <f t="shared" si="62"/>
        <v>8.7916370874570229E-2</v>
      </c>
      <c r="AF58" s="254">
        <f t="shared" si="62"/>
        <v>9.5484155273697788E-2</v>
      </c>
      <c r="AG58" s="265">
        <f t="shared" si="62"/>
        <v>0.1045955647143598</v>
      </c>
      <c r="AH58" s="254">
        <f t="shared" si="62"/>
        <v>0.10734156196185421</v>
      </c>
      <c r="AI58" s="254">
        <f t="shared" si="62"/>
        <v>9.7431376647611784E-2</v>
      </c>
      <c r="AJ58" s="254">
        <f t="shared" si="62"/>
        <v>9.6677284933211219E-2</v>
      </c>
      <c r="AK58" s="265">
        <f t="shared" si="62"/>
        <v>0.1170487782709692</v>
      </c>
      <c r="AL58" s="254">
        <f t="shared" si="62"/>
        <v>0.11421382038405356</v>
      </c>
      <c r="AN58" s="254">
        <f>+AN53/AN57/AVERAGE(AN27,C27)</f>
        <v>0.17619793200737904</v>
      </c>
      <c r="AO58" s="254">
        <f t="shared" ref="AO58:AV58" si="63">+AO53/AO57/AVERAGE(AN27:AO27)</f>
        <v>0.1633044813625576</v>
      </c>
      <c r="AP58" s="254">
        <f t="shared" si="63"/>
        <v>0.16294837889512176</v>
      </c>
      <c r="AQ58" s="254">
        <f t="shared" si="63"/>
        <v>0.27722490568644137</v>
      </c>
      <c r="AR58" s="254">
        <f t="shared" si="63"/>
        <v>0.23322536377609193</v>
      </c>
      <c r="AS58" s="254">
        <f t="shared" si="63"/>
        <v>0.14184020144124937</v>
      </c>
      <c r="AT58" s="254">
        <f t="shared" si="63"/>
        <v>0.1115094401361212</v>
      </c>
      <c r="AU58" s="254">
        <f t="shared" si="63"/>
        <v>9.8114074517101038E-2</v>
      </c>
      <c r="AV58" s="254">
        <f t="shared" si="63"/>
        <v>0.10132859513388977</v>
      </c>
    </row>
    <row r="59" spans="2:48" x14ac:dyDescent="0.15">
      <c r="B59" s="11" t="s">
        <v>48</v>
      </c>
      <c r="C59" s="248"/>
      <c r="D59" s="248"/>
      <c r="E59" s="263"/>
      <c r="F59" s="248"/>
      <c r="G59" s="248"/>
      <c r="H59" s="248"/>
      <c r="I59" s="263">
        <f t="shared" ref="I59:W59" si="64">+I5/(I53/1000000)</f>
        <v>18.839348979666759</v>
      </c>
      <c r="J59" s="248">
        <f t="shared" si="64"/>
        <v>21.49976084235886</v>
      </c>
      <c r="K59" s="248">
        <f t="shared" si="64"/>
        <v>19.769564560445662</v>
      </c>
      <c r="L59" s="248">
        <f t="shared" si="64"/>
        <v>20.890304623626413</v>
      </c>
      <c r="M59" s="263">
        <f t="shared" si="64"/>
        <v>23.053273895158735</v>
      </c>
      <c r="N59" s="248">
        <f t="shared" si="64"/>
        <v>21.28835081691641</v>
      </c>
      <c r="O59" s="248">
        <f t="shared" si="64"/>
        <v>24.102399878817586</v>
      </c>
      <c r="P59" s="248">
        <f t="shared" si="64"/>
        <v>22.618903801570305</v>
      </c>
      <c r="Q59" s="263">
        <f t="shared" si="64"/>
        <v>27.793188125659636</v>
      </c>
      <c r="R59" s="248">
        <f t="shared" si="64"/>
        <v>23.794887806317814</v>
      </c>
      <c r="S59" s="248">
        <f t="shared" si="64"/>
        <v>23.738037265386364</v>
      </c>
      <c r="T59" s="248">
        <f t="shared" si="64"/>
        <v>26.507194696545366</v>
      </c>
      <c r="U59" s="263">
        <f t="shared" si="64"/>
        <v>28.645559797390344</v>
      </c>
      <c r="V59" s="248">
        <f t="shared" si="64"/>
        <v>30.158768439888021</v>
      </c>
      <c r="W59" s="248">
        <f t="shared" si="64"/>
        <v>31.067891772045282</v>
      </c>
      <c r="X59" s="248">
        <f t="shared" ref="X59:AD59" si="65">+X5/(X53/1000000)</f>
        <v>28.896346993809694</v>
      </c>
      <c r="Y59" s="263">
        <f t="shared" si="65"/>
        <v>29.667721162756635</v>
      </c>
      <c r="Z59" s="248">
        <f t="shared" si="65"/>
        <v>26.555044297110332</v>
      </c>
      <c r="AA59" s="248">
        <f t="shared" si="65"/>
        <v>27.286140487111322</v>
      </c>
      <c r="AB59" s="248">
        <f t="shared" si="65"/>
        <v>26.240450062784134</v>
      </c>
      <c r="AC59" s="263">
        <f t="shared" si="65"/>
        <v>30.367100471643159</v>
      </c>
      <c r="AD59" s="248">
        <f t="shared" si="65"/>
        <v>31.732509093371473</v>
      </c>
      <c r="AE59" s="248">
        <f t="shared" ref="AE59:AG59" si="66">+AE5/(AE53/1000000)</f>
        <v>30.698143773144597</v>
      </c>
      <c r="AF59" s="248">
        <f t="shared" si="66"/>
        <v>36.756521676710484</v>
      </c>
      <c r="AG59" s="263">
        <f t="shared" si="66"/>
        <v>41.869907867014611</v>
      </c>
      <c r="AH59" s="248">
        <f t="shared" ref="AH59:AI59" si="67">+AH5/(AH53/1000000)</f>
        <v>37.875535303487254</v>
      </c>
      <c r="AI59" s="248">
        <f t="shared" si="67"/>
        <v>40.644035603626747</v>
      </c>
      <c r="AJ59" s="248">
        <f t="shared" ref="AJ59:AL59" si="68">+AJ5/(AJ53/1000000)</f>
        <v>45.562847043313859</v>
      </c>
      <c r="AK59" s="263">
        <f t="shared" si="68"/>
        <v>45.43605401712982</v>
      </c>
      <c r="AL59" s="248">
        <f t="shared" si="68"/>
        <v>47.421795774660694</v>
      </c>
      <c r="AN59" s="248">
        <f t="shared" ref="AN59:AS59" si="69">+AN5/(AN53/1000000)</f>
        <v>23.305679687115099</v>
      </c>
      <c r="AO59" s="248">
        <f t="shared" si="69"/>
        <v>20.477784410782526</v>
      </c>
      <c r="AP59" s="248">
        <f t="shared" si="69"/>
        <v>20.318445533845942</v>
      </c>
      <c r="AQ59" s="248">
        <f t="shared" si="69"/>
        <v>22.686897951555842</v>
      </c>
      <c r="AR59" s="248">
        <f t="shared" si="69"/>
        <v>25.779907938541239</v>
      </c>
      <c r="AS59" s="248">
        <f t="shared" si="69"/>
        <v>29.635965431442148</v>
      </c>
      <c r="AT59" s="248">
        <f>+AT5/(AT53/1000000)</f>
        <v>27.607687738827547</v>
      </c>
      <c r="AU59" s="248">
        <f>+AU5/(AU53/1000000)</f>
        <v>32.410992165416047</v>
      </c>
      <c r="AV59" s="248">
        <f>+AV5/(AV53/1000000)</f>
        <v>41.492129677598371</v>
      </c>
    </row>
    <row r="61" spans="2:48"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N61" s="215"/>
      <c r="AO61" s="215"/>
      <c r="AP61" s="215"/>
      <c r="AQ61" s="215"/>
      <c r="AR61" s="215"/>
      <c r="AS61" s="215"/>
      <c r="AT61" s="215"/>
      <c r="AU61" s="215"/>
      <c r="AV61" s="215"/>
    </row>
    <row r="62" spans="2:48"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c r="AL62" s="287"/>
    </row>
    <row r="64" spans="2:48" ht="48" x14ac:dyDescent="0.15">
      <c r="B64" s="242" t="s">
        <v>360</v>
      </c>
    </row>
    <row r="65" spans="2:2" ht="24" x14ac:dyDescent="0.15">
      <c r="B65" s="242" t="s">
        <v>367</v>
      </c>
    </row>
  </sheetData>
  <pageMargins left="0.7" right="0.7" top="0.75" bottom="0.75" header="0.3" footer="0.3"/>
  <pageSetup paperSize="9" orientation="portrait" r:id="rId1"/>
  <ignoredErrors>
    <ignoredError sqref="I58:O58 I31:O31 H33:O34 H32:P32 P57:P58 P26:P31 AM5:AO5 P19 P15 P10:P13 P5 Q57:X59 AP16:AR17 AP5:AT7 AP23:AS25 AP21:AS21 AP18:AS18 AS26:AS28 AP20:AR20 AS19 AS9:AT17 AP14 AS57:AS59 AS34:AS39 Y31:Y50 Z31:AB33 AT57 Y58:AB58 AC57:AD59 AU5:AU7 AU14 AU16:AU17 AE31:AF33 AC12:AD21 AU57:AV57 AE12 AE58:AF58 AU9:AU11 AG31:AI33 AG58:AI58 AC23:AD55 Q31:X55 P33:P55 AJ31:AL33 AV5:AV7 AS53:AS54 AT53:AT54 AU53:AU54 AP55:AV56 AV53:AV54 AV9:AV17" formulaRange="1"/>
    <ignoredError sqref="AR40:AR44 AM29 AM26:AO28 AM40:AQ46 AM57:AR59 AM10:AO13 AM14 AM8:AM9 AM18 AM30:AO39 AQ14 AM15:AQ15 AP9:AQ13 AR9:AR15 AM19:AR19 AP26:AR39 AP8:AV8 AS30:AS33 AT30:AU30 AM47:AR52 AM55:AO55 AM53:AO54 AP53:AR54" formula="1" formulaRange="1"/>
    <ignoredError sqref="AN29:AO29 AT29 AT31:AT33 AU33 AU29 AV29:AV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AY65"/>
  <sheetViews>
    <sheetView showGridLines="0" zoomScaleNormal="100" workbookViewId="0">
      <pane xSplit="2" ySplit="2" topLeftCell="AC3" activePane="bottomRight" state="frozen"/>
      <selection pane="topRight"/>
      <selection pane="bottomLeft"/>
      <selection pane="bottomRight" activeCell="AL2" sqref="AL2"/>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8" width="8.1640625" style="210" customWidth="1"/>
    <col min="39" max="39" width="9.1640625" style="210"/>
    <col min="40" max="40" width="8.6640625" style="210" bestFit="1" customWidth="1"/>
    <col min="41" max="41" width="8.83203125" style="210" bestFit="1" customWidth="1"/>
    <col min="42" max="42" width="8.6640625" style="210" bestFit="1" customWidth="1"/>
    <col min="43" max="43" width="8.83203125" style="210" bestFit="1" customWidth="1"/>
    <col min="44" max="45" width="9.1640625" style="210" bestFit="1" customWidth="1"/>
    <col min="46" max="48" width="9.1640625" style="210"/>
    <col min="49" max="49" width="9.1640625" style="11"/>
    <col min="50" max="51" width="9.1640625" style="294"/>
    <col min="52" max="16384" width="9.1640625" style="11"/>
  </cols>
  <sheetData>
    <row r="2" spans="2:48" x14ac:dyDescent="0.15">
      <c r="B2" s="1" t="s">
        <v>271</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L2" s="277" t="s">
        <v>400</v>
      </c>
      <c r="AN2" s="274">
        <v>2017</v>
      </c>
      <c r="AO2" s="274">
        <v>2018</v>
      </c>
      <c r="AP2" s="274">
        <v>2019</v>
      </c>
      <c r="AQ2" s="274">
        <v>2020</v>
      </c>
      <c r="AR2" s="274">
        <v>2021</v>
      </c>
      <c r="AS2" s="274">
        <v>2022</v>
      </c>
      <c r="AT2" s="274">
        <v>2023</v>
      </c>
      <c r="AU2" s="274">
        <v>2024</v>
      </c>
      <c r="AV2" s="274">
        <v>2025</v>
      </c>
    </row>
    <row r="3" spans="2:48" x14ac:dyDescent="0.15">
      <c r="E3" s="257"/>
      <c r="I3" s="257"/>
      <c r="M3" s="257"/>
      <c r="Q3" s="257"/>
      <c r="U3" s="257"/>
      <c r="Y3" s="257"/>
      <c r="AC3" s="257"/>
      <c r="AG3" s="257"/>
      <c r="AK3" s="257"/>
    </row>
    <row r="4" spans="2:48" x14ac:dyDescent="0.15">
      <c r="B4" s="2" t="s">
        <v>12</v>
      </c>
      <c r="E4" s="257"/>
      <c r="I4" s="257"/>
      <c r="M4" s="257"/>
      <c r="Q4" s="257"/>
      <c r="U4" s="257"/>
      <c r="Y4" s="257"/>
      <c r="AC4" s="257"/>
      <c r="AG4" s="257"/>
      <c r="AK4" s="257"/>
    </row>
    <row r="5" spans="2:48" x14ac:dyDescent="0.15">
      <c r="B5" s="3" t="s">
        <v>1</v>
      </c>
      <c r="C5" s="247"/>
      <c r="D5" s="247"/>
      <c r="E5" s="258"/>
      <c r="F5" s="247"/>
      <c r="G5" s="247"/>
      <c r="H5" s="247"/>
      <c r="I5" s="258">
        <v>47.731591681239394</v>
      </c>
      <c r="J5" s="247">
        <v>47.513656762721936</v>
      </c>
      <c r="K5" s="247">
        <v>47.371628352800073</v>
      </c>
      <c r="L5" s="247">
        <v>57.97580211254401</v>
      </c>
      <c r="M5" s="258">
        <v>115.43261755160377</v>
      </c>
      <c r="N5" s="247">
        <v>129.8933087293874</v>
      </c>
      <c r="O5" s="247">
        <v>106.96982723111657</v>
      </c>
      <c r="P5" s="247">
        <v>159.96338375579333</v>
      </c>
      <c r="Q5" s="258">
        <v>259.49702635795018</v>
      </c>
      <c r="R5" s="247">
        <v>138.50602345015446</v>
      </c>
      <c r="S5" s="247">
        <v>140.69235306957049</v>
      </c>
      <c r="T5" s="247">
        <v>155.75277158671574</v>
      </c>
      <c r="U5" s="258">
        <v>136.78039378994779</v>
      </c>
      <c r="V5" s="247">
        <v>103.77696531369959</v>
      </c>
      <c r="W5" s="247">
        <v>114.13566676902526</v>
      </c>
      <c r="X5" s="247">
        <v>102.99999754025049</v>
      </c>
      <c r="Y5" s="258">
        <v>123.1477199425117</v>
      </c>
      <c r="Z5" s="247">
        <v>114.18460810070077</v>
      </c>
      <c r="AA5" s="247">
        <v>123.62814498788427</v>
      </c>
      <c r="AB5" s="247">
        <v>129.34433397728225</v>
      </c>
      <c r="AC5" s="258">
        <v>168.59034275040068</v>
      </c>
      <c r="AD5" s="247">
        <v>168.44647894411048</v>
      </c>
      <c r="AE5" s="247">
        <v>165.3526767831838</v>
      </c>
      <c r="AF5" s="247">
        <v>174.36019367408699</v>
      </c>
      <c r="AG5" s="258">
        <v>225.47570392661035</v>
      </c>
      <c r="AH5" s="247">
        <v>176.94203872236039</v>
      </c>
      <c r="AI5" s="247">
        <v>192.24004609657811</v>
      </c>
      <c r="AJ5" s="247">
        <v>211.79473318600355</v>
      </c>
      <c r="AK5" s="258">
        <v>228.37878723555451</v>
      </c>
      <c r="AL5" s="247">
        <v>235.44608586555904</v>
      </c>
      <c r="AN5" s="247">
        <v>197.47488475233467</v>
      </c>
      <c r="AO5" s="247">
        <v>186.05682649117952</v>
      </c>
      <c r="AP5" s="247">
        <f t="shared" ref="AP5:AP11" si="0">SUM(I5:L5)</f>
        <v>200.59267890930542</v>
      </c>
      <c r="AQ5" s="247">
        <f t="shared" ref="AQ5:AQ11" si="1">SUM(M5:P5)</f>
        <v>512.259137267901</v>
      </c>
      <c r="AR5" s="247">
        <f>SUM(Q5:T5)</f>
        <v>694.44817446439083</v>
      </c>
      <c r="AS5" s="247">
        <f>SUM(U5:X5)</f>
        <v>457.69302341292314</v>
      </c>
      <c r="AT5" s="247">
        <f>SUM(Y5:AB5)</f>
        <v>490.30480700837899</v>
      </c>
      <c r="AU5" s="247">
        <f>SUM(AC5:AF5)</f>
        <v>676.74969215178191</v>
      </c>
      <c r="AV5" s="247">
        <f>SUM(AG5:AJ5)</f>
        <v>806.45252193155238</v>
      </c>
    </row>
    <row r="6" spans="2:48" x14ac:dyDescent="0.15">
      <c r="B6" s="4" t="s">
        <v>345</v>
      </c>
      <c r="C6" s="247"/>
      <c r="D6" s="247"/>
      <c r="E6" s="258"/>
      <c r="F6" s="247"/>
      <c r="G6" s="247"/>
      <c r="H6" s="247"/>
      <c r="I6" s="258">
        <v>3.1805386547806309</v>
      </c>
      <c r="J6" s="247">
        <v>3.0222826133587462</v>
      </c>
      <c r="K6" s="247">
        <v>3.8873821585090704</v>
      </c>
      <c r="L6" s="247">
        <v>3.6707015009402442</v>
      </c>
      <c r="M6" s="258">
        <v>3.7303350600687919</v>
      </c>
      <c r="N6" s="247">
        <v>3.8286912753819431</v>
      </c>
      <c r="O6" s="247">
        <v>3.3796905423261974</v>
      </c>
      <c r="P6" s="247">
        <v>3.330456492541737</v>
      </c>
      <c r="Q6" s="258">
        <v>5.462514328488</v>
      </c>
      <c r="R6" s="247">
        <v>6.1298556295950002</v>
      </c>
      <c r="S6" s="247">
        <v>7.0677977788719994</v>
      </c>
      <c r="T6" s="247">
        <v>8.8202299555430006</v>
      </c>
      <c r="U6" s="258">
        <v>6.5373440928339974</v>
      </c>
      <c r="V6" s="247">
        <v>7.465799895667999</v>
      </c>
      <c r="W6" s="247">
        <v>7.4324644310809989</v>
      </c>
      <c r="X6" s="247">
        <v>6.5701024459719992</v>
      </c>
      <c r="Y6" s="258">
        <v>7.3860714063960016</v>
      </c>
      <c r="Z6" s="247">
        <v>8.6627694088370006</v>
      </c>
      <c r="AA6" s="247">
        <v>9.777424247742422</v>
      </c>
      <c r="AB6" s="247">
        <v>10.643970938415999</v>
      </c>
      <c r="AC6" s="258">
        <v>10.790137558602037</v>
      </c>
      <c r="AD6" s="247">
        <v>12.391167575649817</v>
      </c>
      <c r="AE6" s="247">
        <v>14.501280797826418</v>
      </c>
      <c r="AF6" s="247">
        <v>16.370631623588441</v>
      </c>
      <c r="AG6" s="258">
        <v>16.016550212202226</v>
      </c>
      <c r="AH6" s="247">
        <v>14.005632711365287</v>
      </c>
      <c r="AI6" s="247">
        <v>16.665503111582577</v>
      </c>
      <c r="AJ6" s="247">
        <v>17.089502000070084</v>
      </c>
      <c r="AK6" s="258">
        <v>17.374911195841758</v>
      </c>
      <c r="AL6" s="247">
        <v>20.628538077294369</v>
      </c>
      <c r="AN6" s="247">
        <v>9.4018180785953938</v>
      </c>
      <c r="AO6" s="247">
        <v>10.413578021235468</v>
      </c>
      <c r="AP6" s="247">
        <f t="shared" si="0"/>
        <v>13.76090492758869</v>
      </c>
      <c r="AQ6" s="247">
        <f t="shared" si="1"/>
        <v>14.26917337031867</v>
      </c>
      <c r="AR6" s="247">
        <f>SUM(Q6:T6)</f>
        <v>27.480397692498002</v>
      </c>
      <c r="AS6" s="247">
        <f>SUM(U6:X6)</f>
        <v>28.005710865554995</v>
      </c>
      <c r="AT6" s="247">
        <f>SUM(Y6:AB6)</f>
        <v>36.47023600139142</v>
      </c>
      <c r="AU6" s="247">
        <f>SUM(AC6:AF6)</f>
        <v>54.053217555666706</v>
      </c>
      <c r="AV6" s="247">
        <f>SUM(AG6:AJ6)</f>
        <v>63.777188035220178</v>
      </c>
    </row>
    <row r="7" spans="2:48" x14ac:dyDescent="0.15">
      <c r="B7" s="4" t="s">
        <v>344</v>
      </c>
      <c r="C7" s="247"/>
      <c r="D7" s="247"/>
      <c r="E7" s="258"/>
      <c r="F7" s="247"/>
      <c r="G7" s="247"/>
      <c r="H7" s="247"/>
      <c r="I7" s="258">
        <v>2.0100087424579991</v>
      </c>
      <c r="J7" s="247">
        <v>1.9051638536159996</v>
      </c>
      <c r="K7" s="247">
        <v>2.5718730873199993</v>
      </c>
      <c r="L7" s="247">
        <v>3.7452062385041707</v>
      </c>
      <c r="M7" s="258">
        <v>2.5747339551713999</v>
      </c>
      <c r="N7" s="247">
        <v>3.2371754113023874</v>
      </c>
      <c r="O7" s="247">
        <v>3.6863556214057986</v>
      </c>
      <c r="P7" s="247">
        <v>3.4275494268742293</v>
      </c>
      <c r="Q7" s="258">
        <v>5.11244564200776</v>
      </c>
      <c r="R7" s="247">
        <v>5.9253722008236513</v>
      </c>
      <c r="S7" s="247">
        <v>6.6148054146334063</v>
      </c>
      <c r="T7" s="247">
        <v>6.2547965537152912</v>
      </c>
      <c r="U7" s="258">
        <v>3.2533054272091508</v>
      </c>
      <c r="V7" s="247">
        <v>-0.60851342543872355</v>
      </c>
      <c r="W7" s="247">
        <v>0.96137153565876188</v>
      </c>
      <c r="X7" s="247">
        <v>0.40828183871124496</v>
      </c>
      <c r="Y7" s="258">
        <v>0.23912987878124603</v>
      </c>
      <c r="Z7" s="247">
        <v>1.5746489633996039E-2</v>
      </c>
      <c r="AA7" s="247">
        <v>2.3205116224501283E-2</v>
      </c>
      <c r="AB7" s="247">
        <v>-0.8143332586797476</v>
      </c>
      <c r="AC7" s="258">
        <v>-2.4632742147787838</v>
      </c>
      <c r="AD7" s="247">
        <v>0.56913177400371062</v>
      </c>
      <c r="AE7" s="247">
        <v>-3.8848982056039367</v>
      </c>
      <c r="AF7" s="247">
        <v>-3.171680939094959</v>
      </c>
      <c r="AG7" s="258">
        <v>-1.2628699001779593</v>
      </c>
      <c r="AH7" s="247">
        <v>-2.6572970764403379</v>
      </c>
      <c r="AI7" s="247">
        <v>-0.46747904670093765</v>
      </c>
      <c r="AJ7" s="247">
        <v>-1.740773157500362</v>
      </c>
      <c r="AK7" s="258">
        <v>-3.0954885071131604</v>
      </c>
      <c r="AL7" s="247">
        <v>-3.758806349922629</v>
      </c>
      <c r="AN7" s="247">
        <v>2.1105837131504419</v>
      </c>
      <c r="AO7" s="247">
        <v>12.056994875394713</v>
      </c>
      <c r="AP7" s="247">
        <f>SUM(I7:L7)</f>
        <v>10.232251921898168</v>
      </c>
      <c r="AQ7" s="247">
        <f>SUM(M7:P7)</f>
        <v>12.925814414753816</v>
      </c>
      <c r="AR7" s="247">
        <f>SUM(Q7:T7)</f>
        <v>23.907419811180109</v>
      </c>
      <c r="AS7" s="247">
        <f>SUM(U7:X7)</f>
        <v>4.0144453761404337</v>
      </c>
      <c r="AT7" s="247">
        <f>SUM(Y7:AB7)</f>
        <v>-0.53625177404000424</v>
      </c>
      <c r="AU7" s="247">
        <f>SUM(AC7:AF7)</f>
        <v>-8.9507215854739695</v>
      </c>
      <c r="AV7" s="247">
        <f>SUM(AG7:AJ7)</f>
        <v>-6.1284191808195967</v>
      </c>
    </row>
    <row r="8" spans="2:48" s="12" customFormat="1" x14ac:dyDescent="0.15">
      <c r="B8" s="5" t="s">
        <v>138</v>
      </c>
      <c r="C8" s="249"/>
      <c r="D8" s="249"/>
      <c r="E8" s="259"/>
      <c r="F8" s="249"/>
      <c r="G8" s="249"/>
      <c r="H8" s="249"/>
      <c r="I8" s="259">
        <f t="shared" ref="I8:X8" si="2">SUM(I5:I7)</f>
        <v>52.922139078478025</v>
      </c>
      <c r="J8" s="249">
        <f t="shared" si="2"/>
        <v>52.441103229696687</v>
      </c>
      <c r="K8" s="249">
        <f t="shared" si="2"/>
        <v>53.830883598629143</v>
      </c>
      <c r="L8" s="249">
        <f t="shared" si="2"/>
        <v>65.391709851988423</v>
      </c>
      <c r="M8" s="259">
        <f t="shared" si="2"/>
        <v>121.73768656684396</v>
      </c>
      <c r="N8" s="249">
        <f t="shared" si="2"/>
        <v>136.95917541607173</v>
      </c>
      <c r="O8" s="249">
        <f t="shared" si="2"/>
        <v>114.03587339484856</v>
      </c>
      <c r="P8" s="249">
        <f t="shared" si="2"/>
        <v>166.72138967520931</v>
      </c>
      <c r="Q8" s="259">
        <f t="shared" si="2"/>
        <v>270.07198632844592</v>
      </c>
      <c r="R8" s="249">
        <f t="shared" si="2"/>
        <v>150.56125128057312</v>
      </c>
      <c r="S8" s="249">
        <f t="shared" si="2"/>
        <v>154.37495626307589</v>
      </c>
      <c r="T8" s="249">
        <f t="shared" si="2"/>
        <v>170.82779809597403</v>
      </c>
      <c r="U8" s="259">
        <f t="shared" si="2"/>
        <v>146.57104330999093</v>
      </c>
      <c r="V8" s="249">
        <f t="shared" si="2"/>
        <v>110.63425178392886</v>
      </c>
      <c r="W8" s="249">
        <f t="shared" si="2"/>
        <v>122.52950273576502</v>
      </c>
      <c r="X8" s="249">
        <f t="shared" si="2"/>
        <v>109.97838182493373</v>
      </c>
      <c r="Y8" s="259">
        <f>SUM(Y5:Y7)</f>
        <v>130.77292122768895</v>
      </c>
      <c r="Z8" s="249">
        <f>SUM(Z5:Z7)</f>
        <v>122.86312399917178</v>
      </c>
      <c r="AA8" s="249">
        <f>SUM(AA5:AA7)</f>
        <v>133.42877435185119</v>
      </c>
      <c r="AB8" s="249">
        <f>SUM(AB5:AB7)</f>
        <v>139.17397165701851</v>
      </c>
      <c r="AC8" s="259">
        <v>176.91720609422393</v>
      </c>
      <c r="AD8" s="249">
        <f t="shared" ref="AD8:AG8" si="3">SUM(AD5:AD7)</f>
        <v>181.40677829376403</v>
      </c>
      <c r="AE8" s="249">
        <f t="shared" si="3"/>
        <v>175.96905937540626</v>
      </c>
      <c r="AF8" s="249">
        <f t="shared" si="3"/>
        <v>187.55914435858048</v>
      </c>
      <c r="AG8" s="259">
        <f t="shared" si="3"/>
        <v>240.22938423863462</v>
      </c>
      <c r="AH8" s="249">
        <f t="shared" ref="AH8:AL8" si="4">SUM(AH5:AH7)</f>
        <v>188.29037435728534</v>
      </c>
      <c r="AI8" s="249">
        <f t="shared" si="4"/>
        <v>208.43807016145976</v>
      </c>
      <c r="AJ8" s="249">
        <f t="shared" si="4"/>
        <v>227.14346202857325</v>
      </c>
      <c r="AK8" s="259">
        <f t="shared" si="4"/>
        <v>242.65820992428309</v>
      </c>
      <c r="AL8" s="249">
        <f t="shared" si="4"/>
        <v>252.31581759293078</v>
      </c>
      <c r="AM8" s="211"/>
      <c r="AN8" s="249">
        <f t="shared" ref="AN8:AS8" si="5">SUM(AN5:AN7)</f>
        <v>208.98728654408052</v>
      </c>
      <c r="AO8" s="249">
        <f t="shared" si="5"/>
        <v>208.52739938780971</v>
      </c>
      <c r="AP8" s="249">
        <f t="shared" si="5"/>
        <v>224.58583575879226</v>
      </c>
      <c r="AQ8" s="249">
        <f t="shared" si="5"/>
        <v>539.4541250529735</v>
      </c>
      <c r="AR8" s="249">
        <f t="shared" si="5"/>
        <v>745.83599196806892</v>
      </c>
      <c r="AS8" s="249">
        <f t="shared" si="5"/>
        <v>489.71317965461856</v>
      </c>
      <c r="AT8" s="249">
        <f>SUM(AT5:AT7)</f>
        <v>526.23879123573045</v>
      </c>
      <c r="AU8" s="249">
        <f>SUM(AU5:AU7)</f>
        <v>721.85218812197468</v>
      </c>
      <c r="AV8" s="249">
        <f>SUM(AV5:AV7)</f>
        <v>864.10129078595298</v>
      </c>
    </row>
    <row r="9" spans="2:48" x14ac:dyDescent="0.15">
      <c r="B9" s="6" t="s">
        <v>2</v>
      </c>
      <c r="C9" s="247"/>
      <c r="D9" s="247"/>
      <c r="E9" s="258"/>
      <c r="F9" s="247"/>
      <c r="G9" s="247"/>
      <c r="H9" s="247"/>
      <c r="I9" s="258">
        <v>3.0297234061950018</v>
      </c>
      <c r="J9" s="247">
        <v>4.9823309154209978</v>
      </c>
      <c r="K9" s="247">
        <v>-0.26473776446799924</v>
      </c>
      <c r="L9" s="247">
        <v>0.72783891966900049</v>
      </c>
      <c r="M9" s="258">
        <v>3.5037151629865075</v>
      </c>
      <c r="N9" s="247">
        <v>6.262528041861251</v>
      </c>
      <c r="O9" s="247">
        <v>11.844402439794001</v>
      </c>
      <c r="P9" s="247">
        <v>12.328024643587996</v>
      </c>
      <c r="Q9" s="258">
        <v>17.141702131600749</v>
      </c>
      <c r="R9" s="247">
        <v>20.787664864975909</v>
      </c>
      <c r="S9" s="247">
        <v>20.509118292899235</v>
      </c>
      <c r="T9" s="247">
        <v>17.338516854936749</v>
      </c>
      <c r="U9" s="258">
        <v>23.527881653897502</v>
      </c>
      <c r="V9" s="247">
        <v>22.322973120945985</v>
      </c>
      <c r="W9" s="247">
        <v>34.81589751818877</v>
      </c>
      <c r="X9" s="247">
        <v>56.732745264535758</v>
      </c>
      <c r="Y9" s="258">
        <v>117.75130531945872</v>
      </c>
      <c r="Z9" s="247">
        <v>129.01519835874004</v>
      </c>
      <c r="AA9" s="247">
        <v>148.86871697532698</v>
      </c>
      <c r="AB9" s="247">
        <v>146.67700924179579</v>
      </c>
      <c r="AC9" s="258">
        <v>148.80004779624346</v>
      </c>
      <c r="AD9" s="247">
        <v>152.30360152412175</v>
      </c>
      <c r="AE9" s="247">
        <v>140.22589219313997</v>
      </c>
      <c r="AF9" s="247">
        <v>144.88238312708418</v>
      </c>
      <c r="AG9" s="258">
        <v>128.93643207981316</v>
      </c>
      <c r="AH9" s="247">
        <v>130.46203829155525</v>
      </c>
      <c r="AI9" s="247">
        <v>116.48260476345649</v>
      </c>
      <c r="AJ9" s="247">
        <v>117.99579297253469</v>
      </c>
      <c r="AK9" s="258">
        <v>123.04587337557453</v>
      </c>
      <c r="AL9" s="247">
        <v>141.80208275139125</v>
      </c>
      <c r="AN9" s="247">
        <v>28.8613989293118</v>
      </c>
      <c r="AO9" s="247">
        <v>16.87711591054336</v>
      </c>
      <c r="AP9" s="247">
        <f t="shared" si="0"/>
        <v>8.4751554768169992</v>
      </c>
      <c r="AQ9" s="247">
        <f t="shared" si="1"/>
        <v>33.938670288229751</v>
      </c>
      <c r="AR9" s="247">
        <f>SUM(Q9:T9)</f>
        <v>75.777002144412648</v>
      </c>
      <c r="AS9" s="247">
        <f>SUM(U9:X9)</f>
        <v>137.39949755756803</v>
      </c>
      <c r="AT9" s="247">
        <f>SUM(Y9:AB9)</f>
        <v>542.31222989532148</v>
      </c>
      <c r="AU9" s="247">
        <f>SUM(AC9:AF9)</f>
        <v>586.21192464058936</v>
      </c>
      <c r="AV9" s="247">
        <f>SUM(AG9:AJ9)</f>
        <v>493.87686810735954</v>
      </c>
    </row>
    <row r="10" spans="2:48" x14ac:dyDescent="0.15">
      <c r="B10" s="6" t="s">
        <v>3</v>
      </c>
      <c r="C10" s="247"/>
      <c r="D10" s="247"/>
      <c r="E10" s="258"/>
      <c r="F10" s="247"/>
      <c r="G10" s="247"/>
      <c r="H10" s="247"/>
      <c r="I10" s="258">
        <f>16.697575168654-I20</f>
        <v>0.25407516865400126</v>
      </c>
      <c r="J10" s="247">
        <v>0.36679080363299699</v>
      </c>
      <c r="K10" s="247">
        <v>0.391464381839009</v>
      </c>
      <c r="L10" s="247">
        <v>-2.9713244417309764E-4</v>
      </c>
      <c r="M10" s="258">
        <v>-1.2399148074735402</v>
      </c>
      <c r="N10" s="247">
        <v>-1.832470614047885</v>
      </c>
      <c r="O10" s="247">
        <v>0.44207099759145824</v>
      </c>
      <c r="P10" s="247">
        <v>-2.4076269273004978</v>
      </c>
      <c r="Q10" s="258">
        <v>-0.32262648655349019</v>
      </c>
      <c r="R10" s="247">
        <v>1.1182636418196334</v>
      </c>
      <c r="S10" s="247">
        <v>-0.60711786969650539</v>
      </c>
      <c r="T10" s="247">
        <v>0.72125985626299682</v>
      </c>
      <c r="U10" s="258">
        <v>-0.3322860753217563</v>
      </c>
      <c r="V10" s="247">
        <v>0.51446532074349816</v>
      </c>
      <c r="W10" s="247">
        <v>0.94413783323800327</v>
      </c>
      <c r="X10" s="247">
        <v>-0.49206561672749838</v>
      </c>
      <c r="Y10" s="258">
        <v>0.57843841926474793</v>
      </c>
      <c r="Z10" s="247">
        <v>0.83266396794149899</v>
      </c>
      <c r="AA10" s="247">
        <v>-0.47944492522700011</v>
      </c>
      <c r="AB10" s="247">
        <v>0.11302320599799789</v>
      </c>
      <c r="AC10" s="258">
        <v>0.79688786937341416</v>
      </c>
      <c r="AD10" s="247">
        <v>-0.53065259910933804</v>
      </c>
      <c r="AE10" s="247">
        <v>2.1767243776140036E-2</v>
      </c>
      <c r="AF10" s="247">
        <v>0.77305068490099516</v>
      </c>
      <c r="AG10" s="258">
        <v>-0.2611889167268453</v>
      </c>
      <c r="AH10" s="247">
        <v>-1.0691525507127293</v>
      </c>
      <c r="AI10" s="247">
        <v>0.12001003675232327</v>
      </c>
      <c r="AJ10" s="247">
        <v>0.42191781002485046</v>
      </c>
      <c r="AK10" s="258">
        <v>-1.8258565421626205</v>
      </c>
      <c r="AL10" s="247">
        <v>0.32382006678839992</v>
      </c>
      <c r="AN10" s="247">
        <v>0.7758837634380179</v>
      </c>
      <c r="AO10" s="247">
        <v>0.82990605757768932</v>
      </c>
      <c r="AP10" s="247">
        <f t="shared" si="0"/>
        <v>1.012033221681834</v>
      </c>
      <c r="AQ10" s="247">
        <f t="shared" si="1"/>
        <v>-5.0379413512304652</v>
      </c>
      <c r="AR10" s="247">
        <f>SUM(Q10:T10)</f>
        <v>0.90977914183263464</v>
      </c>
      <c r="AS10" s="247">
        <f>SUM(U10:X10)</f>
        <v>0.6342514619322468</v>
      </c>
      <c r="AT10" s="247">
        <f>SUM(Y10:AB10)</f>
        <v>1.0446806679772447</v>
      </c>
      <c r="AU10" s="247">
        <f>SUM(AC10:AF10)</f>
        <v>1.0610531989412113</v>
      </c>
      <c r="AV10" s="247">
        <f>SUM(AG10:AJ10)</f>
        <v>-0.78841362066240084</v>
      </c>
    </row>
    <row r="11" spans="2:48" x14ac:dyDescent="0.15">
      <c r="B11" s="6" t="s">
        <v>4</v>
      </c>
      <c r="C11" s="247"/>
      <c r="D11" s="247"/>
      <c r="E11" s="258"/>
      <c r="F11" s="247"/>
      <c r="G11" s="247"/>
      <c r="H11" s="247"/>
      <c r="I11" s="258">
        <v>0.87380527549399978</v>
      </c>
      <c r="J11" s="247">
        <v>2.7988366865819994</v>
      </c>
      <c r="K11" s="247">
        <v>1.3898468141360001</v>
      </c>
      <c r="L11" s="247">
        <v>1.9410955070575959</v>
      </c>
      <c r="M11" s="258">
        <v>0.88124472939815846</v>
      </c>
      <c r="N11" s="247">
        <v>2.9800285997396996</v>
      </c>
      <c r="O11" s="247">
        <v>1.1778486557706966</v>
      </c>
      <c r="P11" s="247">
        <v>5.956187876747145</v>
      </c>
      <c r="Q11" s="258">
        <v>4.4816528823707049</v>
      </c>
      <c r="R11" s="247">
        <v>10.504068784397703</v>
      </c>
      <c r="S11" s="247">
        <v>3.932557607625252</v>
      </c>
      <c r="T11" s="247">
        <v>8.4690942469921087</v>
      </c>
      <c r="U11" s="258">
        <v>7.9211652158284895</v>
      </c>
      <c r="V11" s="247">
        <v>3.3862033180253812</v>
      </c>
      <c r="W11" s="247">
        <v>2.6419283218400982</v>
      </c>
      <c r="X11" s="247">
        <v>5.7686057985183323</v>
      </c>
      <c r="Y11" s="258">
        <v>6.3968124661625607</v>
      </c>
      <c r="Z11" s="247">
        <v>3.8533997151561841</v>
      </c>
      <c r="AA11" s="247">
        <v>5.5036003779337115</v>
      </c>
      <c r="AB11" s="247">
        <v>4.2440824328174491</v>
      </c>
      <c r="AC11" s="258">
        <v>5.0764023755146264</v>
      </c>
      <c r="AD11" s="247">
        <v>4.9382930817836321</v>
      </c>
      <c r="AE11" s="247">
        <v>4.9549716368820516</v>
      </c>
      <c r="AF11" s="247">
        <v>6.0419499615489798</v>
      </c>
      <c r="AG11" s="258">
        <v>6.1044874680864529</v>
      </c>
      <c r="AH11" s="247">
        <v>6.8406433053501496</v>
      </c>
      <c r="AI11" s="247">
        <v>5.516347438308232</v>
      </c>
      <c r="AJ11" s="247">
        <v>6.6431493739707665</v>
      </c>
      <c r="AK11" s="258">
        <v>7.9684739507293214</v>
      </c>
      <c r="AL11" s="247">
        <v>9.3196844147690534</v>
      </c>
      <c r="AN11" s="247">
        <v>3.7287137325468591</v>
      </c>
      <c r="AO11" s="247">
        <v>8.3503869366400068</v>
      </c>
      <c r="AP11" s="247">
        <f t="shared" si="0"/>
        <v>7.0035842832695945</v>
      </c>
      <c r="AQ11" s="247">
        <f t="shared" si="1"/>
        <v>10.995309861655699</v>
      </c>
      <c r="AR11" s="247">
        <f>SUM(Q11:T11)</f>
        <v>27.387373521385769</v>
      </c>
      <c r="AS11" s="247">
        <f>SUM(U11:X11)</f>
        <v>19.717902654212303</v>
      </c>
      <c r="AT11" s="247">
        <f>SUM(Y11:AB11)</f>
        <v>19.997894992069906</v>
      </c>
      <c r="AU11" s="247">
        <f>SUM(AC11:AF11)</f>
        <v>21.011617055729289</v>
      </c>
      <c r="AV11" s="247">
        <f>SUM(AG11:AJ11)</f>
        <v>25.104627585715598</v>
      </c>
    </row>
    <row r="12" spans="2:48" x14ac:dyDescent="0.15">
      <c r="B12" s="243" t="s">
        <v>172</v>
      </c>
      <c r="C12" s="249"/>
      <c r="D12" s="249"/>
      <c r="E12" s="259">
        <v>64.881365995290267</v>
      </c>
      <c r="F12" s="249">
        <v>54.408944978444204</v>
      </c>
      <c r="G12" s="249">
        <v>51.525835016952946</v>
      </c>
      <c r="H12" s="249">
        <v>59.158300301883315</v>
      </c>
      <c r="I12" s="259">
        <f>SUM(I8:I11)</f>
        <v>57.079742928821027</v>
      </c>
      <c r="J12" s="249">
        <f t="shared" ref="J12:W12" si="6">SUM(J8:J11)</f>
        <v>60.589061635332676</v>
      </c>
      <c r="K12" s="249">
        <f t="shared" si="6"/>
        <v>55.347457030136148</v>
      </c>
      <c r="L12" s="249">
        <f t="shared" si="6"/>
        <v>68.060347146270843</v>
      </c>
      <c r="M12" s="259">
        <f t="shared" si="6"/>
        <v>124.88273165175509</v>
      </c>
      <c r="N12" s="249">
        <f t="shared" si="6"/>
        <v>144.36926144362482</v>
      </c>
      <c r="O12" s="249">
        <f t="shared" si="6"/>
        <v>127.50019548800472</v>
      </c>
      <c r="P12" s="249">
        <f t="shared" si="6"/>
        <v>182.59797526824397</v>
      </c>
      <c r="Q12" s="259">
        <f t="shared" si="6"/>
        <v>291.37271485586393</v>
      </c>
      <c r="R12" s="249">
        <f t="shared" si="6"/>
        <v>182.97124857176635</v>
      </c>
      <c r="S12" s="249">
        <f t="shared" si="6"/>
        <v>178.20951429390388</v>
      </c>
      <c r="T12" s="249">
        <f t="shared" si="6"/>
        <v>197.35666905416591</v>
      </c>
      <c r="U12" s="259">
        <f t="shared" si="6"/>
        <v>177.68780410439518</v>
      </c>
      <c r="V12" s="249">
        <f t="shared" si="6"/>
        <v>136.85789354364374</v>
      </c>
      <c r="W12" s="249">
        <f t="shared" si="6"/>
        <v>160.93146640903191</v>
      </c>
      <c r="X12" s="249">
        <f t="shared" ref="X12:AL12" si="7">SUM(X8:X11)</f>
        <v>171.98766727126034</v>
      </c>
      <c r="Y12" s="259">
        <f t="shared" si="7"/>
        <v>255.49947743257502</v>
      </c>
      <c r="Z12" s="249">
        <f t="shared" si="7"/>
        <v>256.56438604100953</v>
      </c>
      <c r="AA12" s="249">
        <f t="shared" si="7"/>
        <v>287.32164677988482</v>
      </c>
      <c r="AB12" s="249">
        <f t="shared" si="7"/>
        <v>290.20808653762975</v>
      </c>
      <c r="AC12" s="259">
        <f t="shared" si="7"/>
        <v>331.59054413535546</v>
      </c>
      <c r="AD12" s="249">
        <f t="shared" si="7"/>
        <v>338.11802030056009</v>
      </c>
      <c r="AE12" s="249">
        <f t="shared" si="7"/>
        <v>321.17169044920445</v>
      </c>
      <c r="AF12" s="249">
        <f t="shared" si="7"/>
        <v>339.25652813211468</v>
      </c>
      <c r="AG12" s="259">
        <f t="shared" si="7"/>
        <v>375.00911486980743</v>
      </c>
      <c r="AH12" s="249">
        <f t="shared" si="7"/>
        <v>324.52390340347807</v>
      </c>
      <c r="AI12" s="249">
        <f t="shared" si="7"/>
        <v>330.55703239997683</v>
      </c>
      <c r="AJ12" s="249">
        <f t="shared" si="7"/>
        <v>352.20432218510354</v>
      </c>
      <c r="AK12" s="259">
        <f t="shared" si="7"/>
        <v>371.84670070842435</v>
      </c>
      <c r="AL12" s="249">
        <f t="shared" si="7"/>
        <v>403.76140482587948</v>
      </c>
      <c r="AN12" s="249">
        <f t="shared" ref="AN12:AT12" si="8">SUM(AN8:AN11)</f>
        <v>242.3532829693772</v>
      </c>
      <c r="AO12" s="249">
        <f t="shared" si="8"/>
        <v>234.58480829257076</v>
      </c>
      <c r="AP12" s="249">
        <f t="shared" si="8"/>
        <v>241.07660874056069</v>
      </c>
      <c r="AQ12" s="249">
        <f t="shared" si="8"/>
        <v>579.35016385162862</v>
      </c>
      <c r="AR12" s="249">
        <f t="shared" si="8"/>
        <v>849.91014677570001</v>
      </c>
      <c r="AS12" s="249">
        <f t="shared" si="8"/>
        <v>647.464831328331</v>
      </c>
      <c r="AT12" s="249">
        <f t="shared" si="8"/>
        <v>1089.5935967910991</v>
      </c>
      <c r="AU12" s="249">
        <f t="shared" ref="AU12" si="9">SUM(AU8:AU11)</f>
        <v>1330.1367830172344</v>
      </c>
      <c r="AV12" s="249">
        <f t="shared" ref="AV12" si="10">SUM(AV8:AV11)</f>
        <v>1382.2943728583657</v>
      </c>
    </row>
    <row r="13" spans="2:48" x14ac:dyDescent="0.15">
      <c r="B13" s="7"/>
      <c r="E13" s="257"/>
      <c r="I13" s="257"/>
      <c r="M13" s="257"/>
      <c r="Q13" s="257"/>
      <c r="U13" s="257"/>
      <c r="Y13" s="257"/>
      <c r="AC13" s="257"/>
      <c r="AG13" s="257"/>
      <c r="AK13" s="257"/>
    </row>
    <row r="14" spans="2:48" x14ac:dyDescent="0.15">
      <c r="B14" s="2" t="s">
        <v>290</v>
      </c>
      <c r="C14" s="249"/>
      <c r="D14" s="249"/>
      <c r="E14" s="259"/>
      <c r="F14" s="249"/>
      <c r="G14" s="249"/>
      <c r="H14" s="249"/>
      <c r="I14" s="259">
        <v>-45.802864236648283</v>
      </c>
      <c r="J14" s="249">
        <v>-44.753097833167011</v>
      </c>
      <c r="K14" s="249">
        <v>-43.41510572268168</v>
      </c>
      <c r="L14" s="249">
        <f>-56.0757650252262-L21</f>
        <v>-48.575765025226197</v>
      </c>
      <c r="M14" s="259">
        <v>-44.346229209057476</v>
      </c>
      <c r="N14" s="249">
        <f>-48.855360339243-N21</f>
        <v>-46.105360339242999</v>
      </c>
      <c r="O14" s="249">
        <f>-50.7066228097595-O21</f>
        <v>-45.971622809759502</v>
      </c>
      <c r="P14" s="249">
        <f>-76.8312254050938-P21</f>
        <v>-51.988725405093803</v>
      </c>
      <c r="Q14" s="259">
        <v>-53.649398832341767</v>
      </c>
      <c r="R14" s="249">
        <v>-55.005557855057788</v>
      </c>
      <c r="S14" s="249">
        <v>-55.30205229462431</v>
      </c>
      <c r="T14" s="249">
        <v>-59.100190923931528</v>
      </c>
      <c r="U14" s="259">
        <f>-24.4230747592066-U21</f>
        <v>-59.111074759206595</v>
      </c>
      <c r="V14" s="249">
        <v>-62.721257646150583</v>
      </c>
      <c r="W14" s="249">
        <v>-68.971155295725723</v>
      </c>
      <c r="X14" s="249">
        <v>-72.95807778312907</v>
      </c>
      <c r="Y14" s="259">
        <v>-72.497222912495062</v>
      </c>
      <c r="Z14" s="249">
        <v>-66.169035754316639</v>
      </c>
      <c r="AA14" s="249">
        <v>-65.697696248537483</v>
      </c>
      <c r="AB14" s="249">
        <v>-70.248102797355614</v>
      </c>
      <c r="AC14" s="259">
        <v>-76.422637575948613</v>
      </c>
      <c r="AD14" s="249">
        <v>-73.682372610274697</v>
      </c>
      <c r="AE14" s="249">
        <v>-75.444653736729691</v>
      </c>
      <c r="AF14" s="249">
        <v>-86.444431118551094</v>
      </c>
      <c r="AG14" s="259">
        <v>-93.771234822267758</v>
      </c>
      <c r="AH14" s="249">
        <v>-89.031905002507571</v>
      </c>
      <c r="AI14" s="249">
        <v>-89.586236685150581</v>
      </c>
      <c r="AJ14" s="249">
        <v>-95.601503881625476</v>
      </c>
      <c r="AK14" s="259">
        <v>-96.37292794319832</v>
      </c>
      <c r="AL14" s="249">
        <v>-103.55050783806871</v>
      </c>
      <c r="AN14" s="249">
        <f>-156.423111668637-AN21</f>
        <v>-145.17311166863701</v>
      </c>
      <c r="AO14" s="249">
        <v>-195.52037259353693</v>
      </c>
      <c r="AP14" s="249">
        <f>SUM(I14:L14)</f>
        <v>-182.54683281772316</v>
      </c>
      <c r="AQ14" s="249">
        <f>SUM(M14:P14)</f>
        <v>-188.41193776315379</v>
      </c>
      <c r="AR14" s="249">
        <f>SUM(Q14:T14)</f>
        <v>-223.0571999059554</v>
      </c>
      <c r="AS14" s="249">
        <f>SUM(U14:X14)</f>
        <v>-263.76156548421199</v>
      </c>
      <c r="AT14" s="249">
        <f>SUM(Y14:AB14)</f>
        <v>-274.61205771270477</v>
      </c>
      <c r="AU14" s="249">
        <f>SUM(AC14:AF14)</f>
        <v>-311.99409504150407</v>
      </c>
      <c r="AV14" s="249">
        <f>SUM(AG14:AJ14)</f>
        <v>-367.9908803915514</v>
      </c>
    </row>
    <row r="15" spans="2:48" x14ac:dyDescent="0.15">
      <c r="B15" s="7"/>
      <c r="E15" s="257"/>
      <c r="I15" s="257"/>
      <c r="M15" s="257"/>
      <c r="Q15" s="257"/>
      <c r="U15" s="257"/>
      <c r="Y15" s="257"/>
      <c r="AC15" s="257"/>
      <c r="AG15" s="257"/>
      <c r="AK15" s="257"/>
    </row>
    <row r="16" spans="2:48" x14ac:dyDescent="0.15">
      <c r="B16" s="6" t="s">
        <v>10</v>
      </c>
      <c r="C16" s="247"/>
      <c r="D16" s="247"/>
      <c r="E16" s="258"/>
      <c r="F16" s="247"/>
      <c r="G16" s="247"/>
      <c r="H16" s="247"/>
      <c r="I16" s="258">
        <v>5.1058586003999984E-2</v>
      </c>
      <c r="J16" s="247">
        <v>-0.30734157286500008</v>
      </c>
      <c r="K16" s="247">
        <v>-0.47744613466699998</v>
      </c>
      <c r="L16" s="247">
        <v>-0.31177546827399999</v>
      </c>
      <c r="M16" s="258">
        <v>-1.112068123452</v>
      </c>
      <c r="N16" s="247">
        <v>1.1380644954000001</v>
      </c>
      <c r="O16" s="247">
        <v>-0.13220127810299998</v>
      </c>
      <c r="P16" s="247">
        <v>3.9478016298000011E-2</v>
      </c>
      <c r="Q16" s="258">
        <v>-0.21045071367200002</v>
      </c>
      <c r="R16" s="247">
        <v>-0.47710982244700001</v>
      </c>
      <c r="S16" s="247">
        <v>-0.22668182964399997</v>
      </c>
      <c r="T16" s="247">
        <v>1.2387475948349997</v>
      </c>
      <c r="U16" s="258">
        <v>0.5039761877079999</v>
      </c>
      <c r="V16" s="247">
        <v>-0.41486374839599999</v>
      </c>
      <c r="W16" s="247">
        <v>-5.2491963023299733E-2</v>
      </c>
      <c r="X16" s="247">
        <v>-1.0969719774876998</v>
      </c>
      <c r="Y16" s="258">
        <v>0.47238086713499999</v>
      </c>
      <c r="Z16" s="247">
        <v>-7.4369369974000121E-2</v>
      </c>
      <c r="AA16" s="247">
        <v>-0.28937334971099998</v>
      </c>
      <c r="AB16" s="247">
        <v>0.18409352323600003</v>
      </c>
      <c r="AC16" s="258">
        <v>-0.51160585254138002</v>
      </c>
      <c r="AD16" s="247">
        <v>4.621690651990004E-3</v>
      </c>
      <c r="AE16" s="247">
        <v>-0.18886332410301002</v>
      </c>
      <c r="AF16" s="247">
        <v>-0.24066468704016</v>
      </c>
      <c r="AG16" s="258">
        <v>0.14874621361904905</v>
      </c>
      <c r="AH16" s="247">
        <v>-0.4499208172231115</v>
      </c>
      <c r="AI16" s="247">
        <v>0.84678266079883346</v>
      </c>
      <c r="AJ16" s="247">
        <v>0.28475188906152504</v>
      </c>
      <c r="AK16" s="258">
        <v>-0.52116979685446851</v>
      </c>
      <c r="AL16" s="247">
        <v>-0.20032101742092615</v>
      </c>
      <c r="AN16" s="247">
        <v>0.18186454503500002</v>
      </c>
      <c r="AO16" s="247">
        <v>-0.66665674565010002</v>
      </c>
      <c r="AP16" s="247">
        <f>SUM(I16:L16)</f>
        <v>-1.0455045898020001</v>
      </c>
      <c r="AQ16" s="247">
        <f>SUM(M16:P16)</f>
        <v>-6.6726889856999871E-2</v>
      </c>
      <c r="AR16" s="247">
        <f>SUM(Q16:T16)</f>
        <v>0.32450522907199975</v>
      </c>
      <c r="AS16" s="247">
        <f>SUM(U16:X16)</f>
        <v>-1.0603515011989997</v>
      </c>
      <c r="AT16" s="247">
        <f>SUM(Y16:AB16)</f>
        <v>0.29273167068599992</v>
      </c>
      <c r="AU16" s="247">
        <f>SUM(AC16:AF16)</f>
        <v>-0.93651217303255996</v>
      </c>
      <c r="AV16" s="247">
        <f>SUM(AG16:AJ16)</f>
        <v>0.83035994625629606</v>
      </c>
    </row>
    <row r="17" spans="2:48" x14ac:dyDescent="0.15">
      <c r="B17" s="6" t="s">
        <v>340</v>
      </c>
      <c r="C17" s="247"/>
      <c r="D17" s="247"/>
      <c r="E17" s="258"/>
      <c r="F17" s="247"/>
      <c r="G17" s="247"/>
      <c r="H17" s="247"/>
      <c r="I17" s="258">
        <v>-1.0920000000000001</v>
      </c>
      <c r="J17" s="247">
        <v>-0.71912750000000003</v>
      </c>
      <c r="K17" s="247">
        <v>-0.90567750000000002</v>
      </c>
      <c r="L17" s="247">
        <v>-0.90545000000000009</v>
      </c>
      <c r="M17" s="258">
        <v>-0.73414250000000003</v>
      </c>
      <c r="N17" s="247">
        <v>-0.499135</v>
      </c>
      <c r="O17" s="247">
        <v>-0.499135</v>
      </c>
      <c r="P17" s="247">
        <v>-0.499135</v>
      </c>
      <c r="Q17" s="258">
        <v>-0.69500000000000006</v>
      </c>
      <c r="R17" s="247">
        <v>-0.70445200000000008</v>
      </c>
      <c r="S17" s="247">
        <v>-0.69944800000000007</v>
      </c>
      <c r="T17" s="247">
        <v>-0.69972600000000007</v>
      </c>
      <c r="U17" s="258">
        <v>-0.98859199999999647</v>
      </c>
      <c r="V17" s="247">
        <v>-0.89481823999999976</v>
      </c>
      <c r="W17" s="247">
        <v>-0.84798054299999981</v>
      </c>
      <c r="X17" s="247">
        <v>-0.84798054299999981</v>
      </c>
      <c r="Y17" s="258">
        <v>-0.93189599999999972</v>
      </c>
      <c r="Z17" s="247">
        <v>-0.84367491971000008</v>
      </c>
      <c r="AA17" s="247">
        <v>-0.79956470013000003</v>
      </c>
      <c r="AB17" s="247">
        <v>-0.62312302415999998</v>
      </c>
      <c r="AC17" s="258">
        <v>-0.99072000000000005</v>
      </c>
      <c r="AD17" s="247">
        <v>-1.13856416</v>
      </c>
      <c r="AE17" s="247">
        <v>-1.0646422368000001</v>
      </c>
      <c r="AF17" s="247">
        <v>-1.0646422432000002</v>
      </c>
      <c r="AG17" s="258">
        <v>-1.0080000000000002</v>
      </c>
      <c r="AH17" s="247">
        <v>-0.77532805280000006</v>
      </c>
      <c r="AI17" s="247">
        <v>-0.65899207920000002</v>
      </c>
      <c r="AJ17" s="247">
        <v>-0.6589920680000001</v>
      </c>
      <c r="AK17" s="258">
        <v>-0.70650000000000002</v>
      </c>
      <c r="AL17" s="247">
        <v>-1.0656253499999999</v>
      </c>
      <c r="AN17" s="247">
        <v>-3.036826</v>
      </c>
      <c r="AO17" s="247">
        <v>-4.6111120000000003</v>
      </c>
      <c r="AP17" s="247">
        <f>SUM(I17:L17)</f>
        <v>-3.622255</v>
      </c>
      <c r="AQ17" s="247">
        <f>SUM(M17:P17)</f>
        <v>-2.2315475</v>
      </c>
      <c r="AR17" s="247">
        <f>SUM(Q17:T17)</f>
        <v>-2.7986260000000005</v>
      </c>
      <c r="AS17" s="247">
        <f>SUM(U17:X17)</f>
        <v>-3.579371325999996</v>
      </c>
      <c r="AT17" s="247">
        <f>SUM(Y17:AB17)</f>
        <v>-3.1982586439999996</v>
      </c>
      <c r="AU17" s="247">
        <f>SUM(AC17:AF17)</f>
        <v>-4.25856864</v>
      </c>
      <c r="AV17" s="247">
        <f>SUM(AG17:AJ17)</f>
        <v>-3.1013122000000006</v>
      </c>
    </row>
    <row r="18" spans="2:48" x14ac:dyDescent="0.15">
      <c r="B18" s="2" t="s">
        <v>310</v>
      </c>
      <c r="C18" s="249"/>
      <c r="D18" s="249"/>
      <c r="E18" s="259"/>
      <c r="F18" s="249"/>
      <c r="G18" s="249"/>
      <c r="H18" s="249"/>
      <c r="I18" s="259">
        <f t="shared" ref="I18:X18" si="11">+I17+I16+I14+I12</f>
        <v>10.235937278176742</v>
      </c>
      <c r="J18" s="249">
        <f t="shared" si="11"/>
        <v>14.809494729300667</v>
      </c>
      <c r="K18" s="249">
        <f t="shared" si="11"/>
        <v>10.549227672787467</v>
      </c>
      <c r="L18" s="249">
        <f t="shared" si="11"/>
        <v>18.267356652770644</v>
      </c>
      <c r="M18" s="259">
        <f t="shared" si="11"/>
        <v>78.690291819245616</v>
      </c>
      <c r="N18" s="249">
        <f t="shared" si="11"/>
        <v>98.902830599781822</v>
      </c>
      <c r="O18" s="249">
        <f t="shared" si="11"/>
        <v>80.897236400142219</v>
      </c>
      <c r="P18" s="249">
        <f t="shared" si="11"/>
        <v>130.14959287944816</v>
      </c>
      <c r="Q18" s="259">
        <f t="shared" si="11"/>
        <v>236.81786530985016</v>
      </c>
      <c r="R18" s="249">
        <f t="shared" si="11"/>
        <v>126.78412889426156</v>
      </c>
      <c r="S18" s="249">
        <f t="shared" si="11"/>
        <v>121.98133216963558</v>
      </c>
      <c r="T18" s="249">
        <f t="shared" si="11"/>
        <v>138.79549972506936</v>
      </c>
      <c r="U18" s="259">
        <f t="shared" si="11"/>
        <v>118.09211353289659</v>
      </c>
      <c r="V18" s="249">
        <f t="shared" si="11"/>
        <v>72.826953909097156</v>
      </c>
      <c r="W18" s="249">
        <f t="shared" si="11"/>
        <v>91.059838607282884</v>
      </c>
      <c r="X18" s="249">
        <f t="shared" si="11"/>
        <v>97.084636967643561</v>
      </c>
      <c r="Y18" s="259">
        <f>+Y17+Y16+Y14+Y12</f>
        <v>182.54273938721497</v>
      </c>
      <c r="Z18" s="249">
        <f>+Z17+Z16+Z14+Z12</f>
        <v>189.4773059970089</v>
      </c>
      <c r="AA18" s="249">
        <f>+AA17+AA16+AA14+AA12</f>
        <v>220.53501248150633</v>
      </c>
      <c r="AB18" s="249">
        <f>+AB17+AB16+AB14+AB12</f>
        <v>219.52095423935015</v>
      </c>
      <c r="AC18" s="259">
        <f>+AC17+AC16+AC14+AC12</f>
        <v>253.66558070686546</v>
      </c>
      <c r="AD18" s="249">
        <f t="shared" ref="AD18:AL18" si="12">+AD17+AD16+AD14+AD12</f>
        <v>263.30170522093738</v>
      </c>
      <c r="AE18" s="249">
        <f t="shared" si="12"/>
        <v>244.47353115157176</v>
      </c>
      <c r="AF18" s="249">
        <f t="shared" si="12"/>
        <v>251.50679008332344</v>
      </c>
      <c r="AG18" s="259">
        <f t="shared" si="12"/>
        <v>280.37862626115873</v>
      </c>
      <c r="AH18" s="249">
        <f t="shared" si="12"/>
        <v>234.26674953094738</v>
      </c>
      <c r="AI18" s="249">
        <f t="shared" si="12"/>
        <v>241.15858629642509</v>
      </c>
      <c r="AJ18" s="249">
        <f t="shared" si="12"/>
        <v>256.22857812453958</v>
      </c>
      <c r="AK18" s="259">
        <f t="shared" si="12"/>
        <v>274.24610296837159</v>
      </c>
      <c r="AL18" s="249">
        <f t="shared" si="12"/>
        <v>298.94495062038982</v>
      </c>
      <c r="AN18" s="249">
        <f t="shared" ref="AN18:AS18" si="13">+AN17+AN16+AN14+AN12</f>
        <v>94.325209845775191</v>
      </c>
      <c r="AO18" s="249">
        <f t="shared" si="13"/>
        <v>33.78666695338373</v>
      </c>
      <c r="AP18" s="249">
        <f t="shared" si="13"/>
        <v>53.862016333035541</v>
      </c>
      <c r="AQ18" s="249">
        <f t="shared" si="13"/>
        <v>388.63995169861784</v>
      </c>
      <c r="AR18" s="249">
        <f t="shared" si="13"/>
        <v>624.3788260988166</v>
      </c>
      <c r="AS18" s="249">
        <f t="shared" si="13"/>
        <v>379.06354301691999</v>
      </c>
      <c r="AT18" s="249">
        <f>+AT17+AT16+AT14+AT12</f>
        <v>812.07601210508028</v>
      </c>
      <c r="AU18" s="249">
        <f>+AU17+AU16+AU14+AU12</f>
        <v>1012.9476071626978</v>
      </c>
      <c r="AV18" s="249">
        <f>+AV17+AV16+AV14+AV12</f>
        <v>1012.0325402130707</v>
      </c>
    </row>
    <row r="19" spans="2:48"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c r="AV19" s="212"/>
    </row>
    <row r="20" spans="2:48"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v>-18.2735101192957</v>
      </c>
      <c r="AJ20" s="247"/>
      <c r="AK20" s="258"/>
      <c r="AL20" s="247"/>
      <c r="AN20" s="247"/>
      <c r="AO20" s="247"/>
      <c r="AP20" s="247">
        <f>SUM(I20:L20)</f>
        <v>16.4435</v>
      </c>
      <c r="AQ20" s="247"/>
      <c r="AR20" s="247"/>
      <c r="AS20" s="247"/>
      <c r="AT20" s="247"/>
      <c r="AU20" s="247"/>
      <c r="AV20" s="247">
        <f>SUM(AG20:AJ20)</f>
        <v>-18.2735101192957</v>
      </c>
    </row>
    <row r="21" spans="2:48"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34.687999999999995</v>
      </c>
      <c r="V21" s="247">
        <v>-2.4069084197000001</v>
      </c>
      <c r="W21" s="247">
        <v>-0.88554170999999993</v>
      </c>
      <c r="X21" s="247">
        <v>-0.31982494</v>
      </c>
      <c r="Y21" s="258"/>
      <c r="Z21" s="247"/>
      <c r="AA21" s="247"/>
      <c r="AB21" s="247"/>
      <c r="AC21" s="258"/>
      <c r="AD21" s="247"/>
      <c r="AE21" s="247"/>
      <c r="AF21" s="247">
        <v>-7.1818383803526977</v>
      </c>
      <c r="AG21" s="258"/>
      <c r="AH21" s="247"/>
      <c r="AI21" s="247"/>
      <c r="AJ21" s="247"/>
      <c r="AK21" s="258"/>
      <c r="AL21" s="247"/>
      <c r="AN21" s="247">
        <v>-11.25</v>
      </c>
      <c r="AO21" s="247"/>
      <c r="AP21" s="247">
        <f>SUM(I21:L21)</f>
        <v>-7.5</v>
      </c>
      <c r="AQ21" s="247">
        <f>SUM(M21:P21)</f>
        <v>-32.327500000000001</v>
      </c>
      <c r="AR21" s="247"/>
      <c r="AS21" s="247">
        <f>SUM(U21:X21)</f>
        <v>31.075724930299994</v>
      </c>
      <c r="AT21" s="247"/>
      <c r="AU21" s="247">
        <f t="shared" ref="AU21" si="14">SUM(AC21:AF21)</f>
        <v>-7.1818383803526977</v>
      </c>
      <c r="AV21" s="247"/>
    </row>
    <row r="22" spans="2:48"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K22" s="258"/>
      <c r="AL22" s="247"/>
      <c r="AN22" s="247"/>
      <c r="AO22" s="247"/>
      <c r="AP22" s="247"/>
      <c r="AQ22" s="247"/>
      <c r="AR22" s="247"/>
      <c r="AS22" s="247"/>
      <c r="AT22" s="247"/>
      <c r="AU22" s="247"/>
      <c r="AV22" s="247"/>
    </row>
    <row r="23" spans="2:48"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c r="AV23" s="212"/>
    </row>
    <row r="24" spans="2:48" x14ac:dyDescent="0.15">
      <c r="B24" s="2" t="s">
        <v>311</v>
      </c>
      <c r="C24" s="249"/>
      <c r="D24" s="249"/>
      <c r="E24" s="259"/>
      <c r="F24" s="249"/>
      <c r="G24" s="249"/>
      <c r="H24" s="249"/>
      <c r="I24" s="259">
        <f t="shared" ref="I24:X24" si="15">+I20+I18+I21</f>
        <v>26.679437278176742</v>
      </c>
      <c r="J24" s="249">
        <f t="shared" si="15"/>
        <v>14.809494729300667</v>
      </c>
      <c r="K24" s="249">
        <f t="shared" si="15"/>
        <v>10.549227672787467</v>
      </c>
      <c r="L24" s="249">
        <f t="shared" si="15"/>
        <v>10.767356652770644</v>
      </c>
      <c r="M24" s="259">
        <f t="shared" si="15"/>
        <v>78.690291819245616</v>
      </c>
      <c r="N24" s="249">
        <f t="shared" si="15"/>
        <v>96.152830599781822</v>
      </c>
      <c r="O24" s="249">
        <f t="shared" si="15"/>
        <v>76.16223640014222</v>
      </c>
      <c r="P24" s="249">
        <f t="shared" si="15"/>
        <v>105.30709287944816</v>
      </c>
      <c r="Q24" s="259">
        <f t="shared" si="15"/>
        <v>236.81786530985016</v>
      </c>
      <c r="R24" s="249">
        <f t="shared" si="15"/>
        <v>126.78412889426156</v>
      </c>
      <c r="S24" s="249">
        <f t="shared" si="15"/>
        <v>121.98133216963558</v>
      </c>
      <c r="T24" s="249">
        <f t="shared" si="15"/>
        <v>138.79549972506936</v>
      </c>
      <c r="U24" s="259">
        <f t="shared" si="15"/>
        <v>152.78011353289659</v>
      </c>
      <c r="V24" s="249">
        <f t="shared" si="15"/>
        <v>70.420045489397154</v>
      </c>
      <c r="W24" s="249">
        <f t="shared" si="15"/>
        <v>90.174296897282886</v>
      </c>
      <c r="X24" s="249">
        <f t="shared" si="15"/>
        <v>96.764812027643558</v>
      </c>
      <c r="Y24" s="259">
        <f>+Y20+Y18+Y21</f>
        <v>182.54273938721497</v>
      </c>
      <c r="Z24" s="249">
        <f>+Z20+Z18+Z21</f>
        <v>189.4773059970089</v>
      </c>
      <c r="AA24" s="249">
        <f>+AA20+AA18+AA21</f>
        <v>220.53501248150633</v>
      </c>
      <c r="AB24" s="249">
        <f>+AB20+AB18+AB21</f>
        <v>219.52095423935015</v>
      </c>
      <c r="AC24" s="259">
        <f>+AC20+AC18+AC21</f>
        <v>253.66558070686546</v>
      </c>
      <c r="AD24" s="249">
        <f t="shared" ref="AD24:AE24" si="16">+AD20+AD18+AD21</f>
        <v>263.30170522093738</v>
      </c>
      <c r="AE24" s="249">
        <f t="shared" si="16"/>
        <v>244.47353115157176</v>
      </c>
      <c r="AF24" s="249">
        <f>+AF20+AF18+AF21+AF22</f>
        <v>244.32495170297074</v>
      </c>
      <c r="AG24" s="259">
        <f>+AG20+AG18+AG21+AG22</f>
        <v>280.37862626115873</v>
      </c>
      <c r="AH24" s="249">
        <f>+AH20+AH18+AH21+AH22</f>
        <v>234.26674953094738</v>
      </c>
      <c r="AI24" s="249">
        <f>+AI20+AI18+AI21+AI22</f>
        <v>222.88507617712938</v>
      </c>
      <c r="AJ24" s="249">
        <f>+AJ20+AJ18+AJ21+AJ22</f>
        <v>256.22857812453958</v>
      </c>
      <c r="AK24" s="259">
        <f t="shared" ref="AK24" si="17">+AK20+AK18+AK21+AK22</f>
        <v>274.24610296837159</v>
      </c>
      <c r="AL24" s="249">
        <f>+AL20+AL18+AL21+AL22</f>
        <v>298.94495062038982</v>
      </c>
      <c r="AN24" s="249">
        <f t="shared" ref="AN24:AS24" si="18">+AN20+AN18+AN21</f>
        <v>83.075209845775191</v>
      </c>
      <c r="AO24" s="249">
        <f t="shared" si="18"/>
        <v>33.78666695338373</v>
      </c>
      <c r="AP24" s="249">
        <f t="shared" si="18"/>
        <v>62.805516333035541</v>
      </c>
      <c r="AQ24" s="249">
        <f t="shared" si="18"/>
        <v>356.31245169861785</v>
      </c>
      <c r="AR24" s="249">
        <f t="shared" si="18"/>
        <v>624.3788260988166</v>
      </c>
      <c r="AS24" s="249">
        <f t="shared" si="18"/>
        <v>410.13926794721999</v>
      </c>
      <c r="AT24" s="249">
        <f>+AT20+AT18+AT21</f>
        <v>812.07601210508028</v>
      </c>
      <c r="AU24" s="249">
        <f>+AU20+AU18+AU21+AU22</f>
        <v>1005.765768782345</v>
      </c>
      <c r="AV24" s="249">
        <f>+AV20+AV18+AV21+AV22</f>
        <v>993.75903009377498</v>
      </c>
    </row>
    <row r="25" spans="2:48"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c r="AV25" s="212"/>
    </row>
    <row r="26" spans="2:48"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c r="AV26" s="212"/>
    </row>
    <row r="27" spans="2:48" ht="12" x14ac:dyDescent="0.15">
      <c r="B27" s="11" t="s">
        <v>356</v>
      </c>
      <c r="C27" s="247">
        <v>68500</v>
      </c>
      <c r="D27" s="247">
        <f>AN27</f>
        <v>84900</v>
      </c>
      <c r="E27" s="258">
        <v>89300</v>
      </c>
      <c r="F27" s="247">
        <v>92300</v>
      </c>
      <c r="G27" s="247">
        <v>95800</v>
      </c>
      <c r="H27" s="247">
        <v>100100</v>
      </c>
      <c r="I27" s="258">
        <v>104300</v>
      </c>
      <c r="J27" s="247">
        <v>109000</v>
      </c>
      <c r="K27" s="247">
        <v>113600</v>
      </c>
      <c r="L27" s="247">
        <v>119800</v>
      </c>
      <c r="M27" s="258">
        <v>138900</v>
      </c>
      <c r="N27" s="247">
        <v>158600</v>
      </c>
      <c r="O27" s="247">
        <v>172300</v>
      </c>
      <c r="P27" s="247">
        <v>210400</v>
      </c>
      <c r="Q27" s="258">
        <v>263800</v>
      </c>
      <c r="R27" s="247">
        <v>291900</v>
      </c>
      <c r="S27" s="247">
        <v>309500</v>
      </c>
      <c r="T27" s="247">
        <v>330600</v>
      </c>
      <c r="U27" s="258">
        <v>342900</v>
      </c>
      <c r="V27" s="247">
        <v>352500</v>
      </c>
      <c r="W27" s="247">
        <v>362600</v>
      </c>
      <c r="X27" s="247">
        <v>372100</v>
      </c>
      <c r="Y27" s="258">
        <v>387400</v>
      </c>
      <c r="Z27" s="247">
        <v>400400</v>
      </c>
      <c r="AA27" s="247">
        <v>414900</v>
      </c>
      <c r="AB27" s="247">
        <v>428000</v>
      </c>
      <c r="AC27" s="258">
        <v>453200</v>
      </c>
      <c r="AD27" s="247">
        <v>475100</v>
      </c>
      <c r="AE27" s="247">
        <v>500400</v>
      </c>
      <c r="AF27" s="247">
        <v>527800</v>
      </c>
      <c r="AG27" s="258">
        <v>554300</v>
      </c>
      <c r="AH27" s="247">
        <v>576900</v>
      </c>
      <c r="AI27" s="247">
        <v>603300</v>
      </c>
      <c r="AJ27" s="247">
        <v>623100</v>
      </c>
      <c r="AK27" s="258">
        <v>652400</v>
      </c>
      <c r="AL27" s="247">
        <v>677400</v>
      </c>
      <c r="AM27" s="212"/>
      <c r="AN27" s="247">
        <v>84900</v>
      </c>
      <c r="AO27" s="247">
        <f>+H27</f>
        <v>100100</v>
      </c>
      <c r="AP27" s="247">
        <f>+L27</f>
        <v>119800</v>
      </c>
      <c r="AQ27" s="247">
        <f>+P27</f>
        <v>210400</v>
      </c>
      <c r="AR27" s="247">
        <f>+T27</f>
        <v>330600</v>
      </c>
      <c r="AS27" s="247">
        <f>+X27</f>
        <v>372100</v>
      </c>
      <c r="AT27" s="247">
        <f>+AB27</f>
        <v>428000</v>
      </c>
      <c r="AU27" s="247">
        <f>+AF27</f>
        <v>527800</v>
      </c>
      <c r="AV27" s="247">
        <f>+AJ27</f>
        <v>623100</v>
      </c>
    </row>
    <row r="28" spans="2:48" ht="12" x14ac:dyDescent="0.15">
      <c r="B28" s="11" t="s">
        <v>357</v>
      </c>
      <c r="C28" s="247"/>
      <c r="D28" s="247"/>
      <c r="E28" s="258"/>
      <c r="F28" s="247"/>
      <c r="G28" s="247"/>
      <c r="H28" s="247"/>
      <c r="I28" s="258">
        <f t="shared" ref="I28:O28" si="19">+I27-H27</f>
        <v>4200</v>
      </c>
      <c r="J28" s="247">
        <f t="shared" si="19"/>
        <v>4700</v>
      </c>
      <c r="K28" s="247">
        <f t="shared" si="19"/>
        <v>4600</v>
      </c>
      <c r="L28" s="247">
        <f t="shared" si="19"/>
        <v>6200</v>
      </c>
      <c r="M28" s="258">
        <f t="shared" si="19"/>
        <v>19100</v>
      </c>
      <c r="N28" s="247">
        <f t="shared" si="19"/>
        <v>19700</v>
      </c>
      <c r="O28" s="247">
        <f t="shared" si="19"/>
        <v>13700</v>
      </c>
      <c r="P28" s="247">
        <f t="shared" ref="P28:AL28" si="20">+P27-O27</f>
        <v>38100</v>
      </c>
      <c r="Q28" s="258">
        <f t="shared" si="20"/>
        <v>53400</v>
      </c>
      <c r="R28" s="247">
        <f t="shared" si="20"/>
        <v>28100</v>
      </c>
      <c r="S28" s="247">
        <f t="shared" si="20"/>
        <v>17600</v>
      </c>
      <c r="T28" s="247">
        <f t="shared" si="20"/>
        <v>21100</v>
      </c>
      <c r="U28" s="258">
        <f t="shared" si="20"/>
        <v>12300</v>
      </c>
      <c r="V28" s="247">
        <f t="shared" si="20"/>
        <v>9600</v>
      </c>
      <c r="W28" s="247">
        <f t="shared" si="20"/>
        <v>10100</v>
      </c>
      <c r="X28" s="247">
        <f t="shared" si="20"/>
        <v>9500</v>
      </c>
      <c r="Y28" s="258">
        <f t="shared" si="20"/>
        <v>15300</v>
      </c>
      <c r="Z28" s="247">
        <f t="shared" si="20"/>
        <v>13000</v>
      </c>
      <c r="AA28" s="247">
        <f t="shared" si="20"/>
        <v>14500</v>
      </c>
      <c r="AB28" s="247">
        <f>+AB27-AA27</f>
        <v>13100</v>
      </c>
      <c r="AC28" s="258">
        <f t="shared" si="20"/>
        <v>25200</v>
      </c>
      <c r="AD28" s="247">
        <f t="shared" si="20"/>
        <v>21900</v>
      </c>
      <c r="AE28" s="247">
        <f t="shared" si="20"/>
        <v>25300</v>
      </c>
      <c r="AF28" s="247">
        <f t="shared" si="20"/>
        <v>27400</v>
      </c>
      <c r="AG28" s="258">
        <f t="shared" si="20"/>
        <v>26500</v>
      </c>
      <c r="AH28" s="247">
        <f t="shared" si="20"/>
        <v>22600</v>
      </c>
      <c r="AI28" s="247">
        <f t="shared" si="20"/>
        <v>26400</v>
      </c>
      <c r="AJ28" s="247">
        <f t="shared" si="20"/>
        <v>19800</v>
      </c>
      <c r="AK28" s="258">
        <f t="shared" si="20"/>
        <v>29300</v>
      </c>
      <c r="AL28" s="247">
        <f t="shared" si="20"/>
        <v>25000</v>
      </c>
      <c r="AM28" s="212"/>
      <c r="AN28" s="247">
        <f>+AN27-C27</f>
        <v>16400</v>
      </c>
      <c r="AO28" s="247">
        <f>+AO27-AN27</f>
        <v>15200</v>
      </c>
      <c r="AP28" s="247">
        <f>+AP27-AO27</f>
        <v>19700</v>
      </c>
      <c r="AQ28" s="247">
        <f>SUM(M28:P28)</f>
        <v>90600</v>
      </c>
      <c r="AR28" s="247">
        <f>SUM(Q28:T28)</f>
        <v>120200</v>
      </c>
      <c r="AS28" s="247">
        <f>SUM(U28:X28)</f>
        <v>41500</v>
      </c>
      <c r="AT28" s="247">
        <f>SUM(Y28:AB28)</f>
        <v>55900</v>
      </c>
      <c r="AU28" s="247">
        <f>SUM(AC28:AF28)</f>
        <v>99800</v>
      </c>
      <c r="AV28" s="247">
        <f>SUM(AG28:AJ28)</f>
        <v>95300</v>
      </c>
    </row>
    <row r="29" spans="2:48" ht="12" x14ac:dyDescent="0.15">
      <c r="B29" s="11" t="s">
        <v>365</v>
      </c>
      <c r="C29" s="250"/>
      <c r="D29" s="250"/>
      <c r="E29" s="262"/>
      <c r="F29" s="250"/>
      <c r="G29" s="250"/>
      <c r="H29" s="250"/>
      <c r="I29" s="262">
        <f>+I27/E27-1</f>
        <v>0.16797312430011191</v>
      </c>
      <c r="J29" s="250">
        <f t="shared" ref="J29:O29" si="21">+J27/F27-1</f>
        <v>0.18093174431202597</v>
      </c>
      <c r="K29" s="250">
        <f t="shared" si="21"/>
        <v>0.18580375782881009</v>
      </c>
      <c r="L29" s="250">
        <f t="shared" si="21"/>
        <v>0.19680319680319691</v>
      </c>
      <c r="M29" s="262">
        <f t="shared" si="21"/>
        <v>0.33173537871524439</v>
      </c>
      <c r="N29" s="250">
        <f t="shared" si="21"/>
        <v>0.45504587155963305</v>
      </c>
      <c r="O29" s="250">
        <f t="shared" si="21"/>
        <v>0.51672535211267601</v>
      </c>
      <c r="P29" s="250">
        <f>+P27/L27-1</f>
        <v>0.75626043405676135</v>
      </c>
      <c r="Q29" s="262">
        <f>+Q27/M27-1</f>
        <v>0.89920806335493153</v>
      </c>
      <c r="R29" s="250">
        <f>+R27/N27-1</f>
        <v>0.84047919293820939</v>
      </c>
      <c r="S29" s="250">
        <f>+S27/O27-1</f>
        <v>0.79628554846198485</v>
      </c>
      <c r="T29" s="250">
        <f>+T27/P27-1</f>
        <v>0.57129277566539916</v>
      </c>
      <c r="U29" s="262">
        <v>0.33</v>
      </c>
      <c r="V29" s="250">
        <v>0.24</v>
      </c>
      <c r="W29" s="250">
        <v>0.2</v>
      </c>
      <c r="X29" s="250">
        <v>0.15</v>
      </c>
      <c r="Y29" s="262">
        <f>+Y27/U27-1</f>
        <v>0.12977544473607461</v>
      </c>
      <c r="Z29" s="250">
        <f>+Z27/V27-1</f>
        <v>0.13588652482269503</v>
      </c>
      <c r="AA29" s="250">
        <f>+AA27/W27-1</f>
        <v>0.14423607280750139</v>
      </c>
      <c r="AB29" s="250">
        <f>+AB27/X27-1</f>
        <v>0.15022843321687729</v>
      </c>
      <c r="AC29" s="262">
        <f>+AC27/Y27-1</f>
        <v>0.16985028394424373</v>
      </c>
      <c r="AD29" s="250">
        <f t="shared" ref="AD29:AL29" si="22">+AD27/Z27-1</f>
        <v>0.18656343656343655</v>
      </c>
      <c r="AE29" s="250">
        <f t="shared" si="22"/>
        <v>0.20607375271149664</v>
      </c>
      <c r="AF29" s="250">
        <f t="shared" si="22"/>
        <v>0.23317757009345796</v>
      </c>
      <c r="AG29" s="262">
        <f t="shared" si="22"/>
        <v>0.22308031774051185</v>
      </c>
      <c r="AH29" s="296">
        <f t="shared" si="22"/>
        <v>0.21427067985687231</v>
      </c>
      <c r="AI29" s="296">
        <f t="shared" si="22"/>
        <v>0.20563549160671468</v>
      </c>
      <c r="AJ29" s="296">
        <f t="shared" si="22"/>
        <v>0.18056081849185301</v>
      </c>
      <c r="AK29" s="262">
        <f t="shared" si="22"/>
        <v>0.17697997474291904</v>
      </c>
      <c r="AL29" s="296">
        <f t="shared" si="22"/>
        <v>0.17420696827873106</v>
      </c>
      <c r="AM29" s="212"/>
      <c r="AN29" s="250">
        <f>+AN27/C27-1</f>
        <v>0.23941605839416069</v>
      </c>
      <c r="AO29" s="250">
        <f>+AO27/AN27-1</f>
        <v>0.17903415783274435</v>
      </c>
      <c r="AP29" s="250">
        <f>+AP27/AO27-1</f>
        <v>0.19680319680319691</v>
      </c>
      <c r="AQ29" s="250">
        <f>+AQ27/AP27-1</f>
        <v>0.75626043405676135</v>
      </c>
      <c r="AR29" s="250">
        <f>+AR27/AQ27-1</f>
        <v>0.57129277566539916</v>
      </c>
      <c r="AS29" s="250">
        <v>0.15390000000000001</v>
      </c>
      <c r="AT29" s="250">
        <f>+AT27/AS27-1</f>
        <v>0.15022843321687729</v>
      </c>
      <c r="AU29" s="250">
        <f>+AU27/AT27-1</f>
        <v>0.23317757009345796</v>
      </c>
      <c r="AV29" s="250">
        <f>+AV27/AU27-1</f>
        <v>0.18056081849185301</v>
      </c>
    </row>
    <row r="30" spans="2:48" x14ac:dyDescent="0.15">
      <c r="B30" s="11" t="s">
        <v>24</v>
      </c>
      <c r="C30" s="248"/>
      <c r="D30" s="248"/>
      <c r="E30" s="263">
        <v>1.6973366498003908</v>
      </c>
      <c r="F30" s="248">
        <v>3.1593537497035733</v>
      </c>
      <c r="G30" s="248">
        <v>1.5034468432999997</v>
      </c>
      <c r="H30" s="248">
        <v>1.2132909311999998</v>
      </c>
      <c r="I30" s="263">
        <v>1.762908506</v>
      </c>
      <c r="J30" s="248">
        <v>-6.6890083849999907E-2</v>
      </c>
      <c r="K30" s="248">
        <v>0.80183107300000001</v>
      </c>
      <c r="L30" s="248">
        <v>1.8898560845228787</v>
      </c>
      <c r="M30" s="263">
        <v>5.9615560480000003</v>
      </c>
      <c r="N30" s="248">
        <v>4.4809033810000001</v>
      </c>
      <c r="O30" s="248">
        <v>2.9456956010000002</v>
      </c>
      <c r="P30" s="248">
        <v>8.6</v>
      </c>
      <c r="Q30" s="263">
        <v>9.3000000000000007</v>
      </c>
      <c r="R30" s="248">
        <v>8.6999999999999993</v>
      </c>
      <c r="S30" s="248">
        <v>5.9</v>
      </c>
      <c r="T30" s="248">
        <v>6.7</v>
      </c>
      <c r="U30" s="263">
        <v>6.6</v>
      </c>
      <c r="V30" s="248">
        <v>3.7</v>
      </c>
      <c r="W30" s="248">
        <v>2.2999999999999998</v>
      </c>
      <c r="X30" s="248">
        <v>-0.2</v>
      </c>
      <c r="Y30" s="263">
        <v>3.7</v>
      </c>
      <c r="Z30" s="248">
        <v>2.5</v>
      </c>
      <c r="AA30" s="248">
        <v>2.6</v>
      </c>
      <c r="AB30" s="248">
        <v>1.8</v>
      </c>
      <c r="AC30" s="263">
        <v>6.4</v>
      </c>
      <c r="AD30" s="248">
        <v>5.7</v>
      </c>
      <c r="AE30" s="248">
        <v>5.0999999999999996</v>
      </c>
      <c r="AF30" s="248">
        <v>6.2</v>
      </c>
      <c r="AG30" s="263">
        <v>6.7</v>
      </c>
      <c r="AH30" s="248">
        <v>6.6</v>
      </c>
      <c r="AI30" s="248">
        <v>8.1999999999999993</v>
      </c>
      <c r="AJ30" s="248">
        <v>6.4</v>
      </c>
      <c r="AK30" s="263">
        <v>10.6</v>
      </c>
      <c r="AL30" s="248">
        <v>9.8000000000000007</v>
      </c>
      <c r="AM30" s="212"/>
      <c r="AN30" s="248">
        <v>8.7970000000000006</v>
      </c>
      <c r="AO30" s="248">
        <v>7.573428174003964</v>
      </c>
      <c r="AP30" s="248">
        <f>SUM(I30:L30)</f>
        <v>4.387705579672879</v>
      </c>
      <c r="AQ30" s="248">
        <f>SUM(M30:P30)</f>
        <v>21.988155030000001</v>
      </c>
      <c r="AR30" s="248">
        <f>SUM(Q30:T30)</f>
        <v>30.599999999999998</v>
      </c>
      <c r="AS30" s="248">
        <f>SUM(U30:X30)</f>
        <v>12.400000000000002</v>
      </c>
      <c r="AT30" s="248">
        <f>SUM(Y30:AB30)</f>
        <v>10.600000000000001</v>
      </c>
      <c r="AU30" s="248">
        <f>SUM(AC30:AF30)</f>
        <v>23.400000000000002</v>
      </c>
      <c r="AV30" s="248">
        <f>SUM(AG30:AJ30)</f>
        <v>27.9</v>
      </c>
    </row>
    <row r="31" spans="2:48" x14ac:dyDescent="0.15">
      <c r="B31" s="11" t="s">
        <v>177</v>
      </c>
      <c r="C31" s="250"/>
      <c r="D31" s="250"/>
      <c r="E31" s="262"/>
      <c r="F31" s="250"/>
      <c r="G31" s="250"/>
      <c r="H31" s="250"/>
      <c r="I31" s="262">
        <f t="shared" ref="I31:AL31" si="23">+SUM(F30:I30)*1000/E40</f>
        <v>0.12849453372924427</v>
      </c>
      <c r="J31" s="250">
        <f t="shared" si="23"/>
        <v>6.7972214982285867E-2</v>
      </c>
      <c r="K31" s="250">
        <f t="shared" si="23"/>
        <v>5.536536515515441E-2</v>
      </c>
      <c r="L31" s="250">
        <f t="shared" si="23"/>
        <v>7.1988606721458237E-2</v>
      </c>
      <c r="M31" s="262">
        <f t="shared" si="23"/>
        <v>0.12213873572792146</v>
      </c>
      <c r="N31" s="250">
        <f t="shared" si="23"/>
        <v>0.18325863801483017</v>
      </c>
      <c r="O31" s="250">
        <f t="shared" si="23"/>
        <v>0.2046344912205047</v>
      </c>
      <c r="P31" s="250">
        <f t="shared" si="23"/>
        <v>0.27416652157107235</v>
      </c>
      <c r="Q31" s="262">
        <f t="shared" si="23"/>
        <v>0.32658412613797549</v>
      </c>
      <c r="R31" s="250">
        <f t="shared" si="23"/>
        <v>0.32276267862136776</v>
      </c>
      <c r="S31" s="250">
        <f t="shared" si="23"/>
        <v>0.32124147474547793</v>
      </c>
      <c r="T31" s="250">
        <f t="shared" si="23"/>
        <v>0.2591902422497035</v>
      </c>
      <c r="U31" s="262">
        <f t="shared" si="23"/>
        <v>0.2047255650132081</v>
      </c>
      <c r="V31" s="250">
        <f t="shared" si="23"/>
        <v>0.15210893390900035</v>
      </c>
      <c r="W31" s="250">
        <f t="shared" si="23"/>
        <v>0.12299260769819016</v>
      </c>
      <c r="X31" s="250">
        <f t="shared" si="23"/>
        <v>7.2080451084113248E-2</v>
      </c>
      <c r="Y31" s="262">
        <f t="shared" si="23"/>
        <v>5.5948174322732629E-2</v>
      </c>
      <c r="Z31" s="250">
        <f t="shared" si="23"/>
        <v>5.2661633145105004E-2</v>
      </c>
      <c r="AA31" s="250">
        <f t="shared" si="23"/>
        <v>5.4547761004693641E-2</v>
      </c>
      <c r="AB31" s="250">
        <f t="shared" si="23"/>
        <v>6.2881888829566357E-2</v>
      </c>
      <c r="AC31" s="262">
        <f t="shared" si="23"/>
        <v>7.2063285652362377E-2</v>
      </c>
      <c r="AD31" s="250">
        <f t="shared" si="23"/>
        <v>8.1881792466875089E-2</v>
      </c>
      <c r="AE31" s="250">
        <f t="shared" si="23"/>
        <v>9.5626352609592832E-2</v>
      </c>
      <c r="AF31" s="250">
        <f t="shared" si="23"/>
        <v>0.11389632513993674</v>
      </c>
      <c r="AG31" s="262">
        <f t="shared" si="23"/>
        <v>9.9684542586750788E-2</v>
      </c>
      <c r="AH31" s="296">
        <f t="shared" si="23"/>
        <v>9.7595810521304449E-2</v>
      </c>
      <c r="AI31" s="296">
        <f t="shared" si="23"/>
        <v>0.10999047013977128</v>
      </c>
      <c r="AJ31" s="296">
        <f t="shared" si="23"/>
        <v>0.10600706713780919</v>
      </c>
      <c r="AK31" s="262">
        <f t="shared" si="23"/>
        <v>0.13325511230305059</v>
      </c>
      <c r="AL31" s="296">
        <f t="shared" si="23"/>
        <v>0.13314566135352074</v>
      </c>
      <c r="AM31" s="212"/>
      <c r="AN31" s="250">
        <f>+AN30*1000/C40</f>
        <v>0.19880225988700564</v>
      </c>
      <c r="AO31" s="250">
        <f t="shared" ref="AO31:AV31" si="24">+AO30*1000/AN40</f>
        <v>0.13221767063554407</v>
      </c>
      <c r="AP31" s="250">
        <f t="shared" si="24"/>
        <v>7.1988606721458237E-2</v>
      </c>
      <c r="AQ31" s="250">
        <f t="shared" si="24"/>
        <v>0.27416652157107235</v>
      </c>
      <c r="AR31" s="250">
        <f t="shared" si="24"/>
        <v>0.2591902422497035</v>
      </c>
      <c r="AS31" s="250">
        <f t="shared" si="24"/>
        <v>7.2080451084113248E-2</v>
      </c>
      <c r="AT31" s="250">
        <f t="shared" si="24"/>
        <v>6.2881888829566357E-2</v>
      </c>
      <c r="AU31" s="250">
        <f t="shared" si="24"/>
        <v>0.11389632513993674</v>
      </c>
      <c r="AV31" s="250">
        <f t="shared" si="24"/>
        <v>0.10600706713780919</v>
      </c>
    </row>
    <row r="32" spans="2:48" x14ac:dyDescent="0.15">
      <c r="B32" s="11" t="s">
        <v>313</v>
      </c>
      <c r="C32" s="247"/>
      <c r="D32" s="247"/>
      <c r="E32" s="258"/>
      <c r="F32" s="247"/>
      <c r="G32" s="247"/>
      <c r="H32" s="247">
        <f t="shared" ref="H32:AL32" si="25">+ROUND(AVERAGE(D40:H40)*1000000/AVERAGE(D27:H27),-2)</f>
        <v>669600</v>
      </c>
      <c r="I32" s="258">
        <f t="shared" si="25"/>
        <v>669700</v>
      </c>
      <c r="J32" s="247">
        <f t="shared" si="25"/>
        <v>667700</v>
      </c>
      <c r="K32" s="247">
        <f t="shared" si="25"/>
        <v>659200</v>
      </c>
      <c r="L32" s="247">
        <f t="shared" si="25"/>
        <v>654300</v>
      </c>
      <c r="M32" s="258">
        <f t="shared" si="25"/>
        <v>639300</v>
      </c>
      <c r="N32" s="247">
        <f t="shared" si="25"/>
        <v>618300</v>
      </c>
      <c r="O32" s="247">
        <f t="shared" si="25"/>
        <v>604600</v>
      </c>
      <c r="P32" s="247">
        <f t="shared" si="25"/>
        <v>585700</v>
      </c>
      <c r="Q32" s="258">
        <f t="shared" si="25"/>
        <v>555700</v>
      </c>
      <c r="R32" s="247">
        <f t="shared" si="25"/>
        <v>544800</v>
      </c>
      <c r="S32" s="247">
        <f t="shared" si="25"/>
        <v>531300</v>
      </c>
      <c r="T32" s="247">
        <f t="shared" si="25"/>
        <v>521900</v>
      </c>
      <c r="U32" s="258">
        <f t="shared" si="25"/>
        <v>510500</v>
      </c>
      <c r="V32" s="247">
        <f t="shared" si="25"/>
        <v>495800</v>
      </c>
      <c r="W32" s="247">
        <f t="shared" si="25"/>
        <v>479400</v>
      </c>
      <c r="X32" s="247">
        <f t="shared" si="25"/>
        <v>468900</v>
      </c>
      <c r="Y32" s="258">
        <f t="shared" si="25"/>
        <v>461200</v>
      </c>
      <c r="Z32" s="247">
        <f t="shared" si="25"/>
        <v>464000</v>
      </c>
      <c r="AA32" s="247">
        <f t="shared" si="25"/>
        <v>470200</v>
      </c>
      <c r="AB32" s="247">
        <f t="shared" si="25"/>
        <v>478700</v>
      </c>
      <c r="AC32" s="258">
        <f t="shared" si="25"/>
        <v>493300</v>
      </c>
      <c r="AD32" s="247">
        <f t="shared" si="25"/>
        <v>504400</v>
      </c>
      <c r="AE32" s="247">
        <f t="shared" si="25"/>
        <v>504400</v>
      </c>
      <c r="AF32" s="247">
        <f t="shared" si="25"/>
        <v>507600</v>
      </c>
      <c r="AG32" s="258">
        <f t="shared" si="25"/>
        <v>495300</v>
      </c>
      <c r="AH32" s="247">
        <f t="shared" si="25"/>
        <v>481500</v>
      </c>
      <c r="AI32" s="247">
        <f t="shared" si="25"/>
        <v>469800</v>
      </c>
      <c r="AJ32" s="247">
        <f t="shared" si="25"/>
        <v>463300</v>
      </c>
      <c r="AK32" s="258">
        <f t="shared" si="25"/>
        <v>453300</v>
      </c>
      <c r="AL32" s="247">
        <f t="shared" si="25"/>
        <v>468500</v>
      </c>
      <c r="AN32" s="247">
        <f>+ROUND(AVERAGE(AN40,C40)*1000000/AVERAGE(AN27,C27),-2)</f>
        <v>661900</v>
      </c>
      <c r="AO32" s="247">
        <f>+H32</f>
        <v>669600</v>
      </c>
      <c r="AP32" s="247">
        <f>+L32</f>
        <v>654300</v>
      </c>
      <c r="AQ32" s="247">
        <f>+P32</f>
        <v>585700</v>
      </c>
      <c r="AR32" s="247">
        <f>+T32</f>
        <v>521900</v>
      </c>
      <c r="AS32" s="247">
        <f>+X32</f>
        <v>468900</v>
      </c>
      <c r="AT32" s="247">
        <f>+AB32</f>
        <v>478700</v>
      </c>
      <c r="AU32" s="247">
        <f>+AF32</f>
        <v>507600</v>
      </c>
      <c r="AV32" s="247">
        <f>+AJ32</f>
        <v>463300</v>
      </c>
    </row>
    <row r="33" spans="2:48" x14ac:dyDescent="0.15">
      <c r="B33" s="7" t="s">
        <v>25</v>
      </c>
      <c r="C33" s="247"/>
      <c r="D33" s="247"/>
      <c r="E33" s="258"/>
      <c r="F33" s="247"/>
      <c r="G33" s="247"/>
      <c r="H33" s="247"/>
      <c r="I33" s="258">
        <f t="shared" ref="I33:AL33" si="26">+I12*1000000/AVERAGE(H27:I27)*4</f>
        <v>2234.0408191319384</v>
      </c>
      <c r="J33" s="247">
        <f t="shared" si="26"/>
        <v>2272.444880837606</v>
      </c>
      <c r="K33" s="247">
        <f t="shared" si="26"/>
        <v>1989.1269372915058</v>
      </c>
      <c r="L33" s="247">
        <f t="shared" si="26"/>
        <v>2332.8310932740646</v>
      </c>
      <c r="M33" s="258">
        <f t="shared" si="26"/>
        <v>3861.8548636027863</v>
      </c>
      <c r="N33" s="247">
        <f t="shared" si="26"/>
        <v>3882.1986270554576</v>
      </c>
      <c r="O33" s="247">
        <f t="shared" si="26"/>
        <v>3082.5069927592558</v>
      </c>
      <c r="P33" s="247">
        <f t="shared" si="26"/>
        <v>3817.0467785365868</v>
      </c>
      <c r="Q33" s="258">
        <f t="shared" si="26"/>
        <v>4915.6088545907032</v>
      </c>
      <c r="R33" s="247">
        <f t="shared" si="26"/>
        <v>2634.1011131440177</v>
      </c>
      <c r="S33" s="247">
        <f t="shared" si="26"/>
        <v>2370.5954678271219</v>
      </c>
      <c r="T33" s="247">
        <f t="shared" si="26"/>
        <v>2466.5729611518937</v>
      </c>
      <c r="U33" s="258">
        <f t="shared" si="26"/>
        <v>2110.6197963402547</v>
      </c>
      <c r="V33" s="247">
        <f t="shared" si="26"/>
        <v>1574.4365089864107</v>
      </c>
      <c r="W33" s="247">
        <f t="shared" si="26"/>
        <v>1800.3799905918829</v>
      </c>
      <c r="X33" s="247">
        <f t="shared" si="26"/>
        <v>1872.7389930176705</v>
      </c>
      <c r="Y33" s="258">
        <f t="shared" si="26"/>
        <v>2691.2387353003292</v>
      </c>
      <c r="Z33" s="247">
        <f t="shared" si="26"/>
        <v>2605.3758420006043</v>
      </c>
      <c r="AA33" s="247">
        <f t="shared" si="26"/>
        <v>2819.2974049295703</v>
      </c>
      <c r="AB33" s="247">
        <f t="shared" si="26"/>
        <v>2754.3773784565647</v>
      </c>
      <c r="AC33" s="258">
        <f t="shared" si="26"/>
        <v>3010.3544633259689</v>
      </c>
      <c r="AD33" s="247">
        <f t="shared" si="26"/>
        <v>2913.868536469332</v>
      </c>
      <c r="AE33" s="247">
        <f t="shared" si="26"/>
        <v>2633.9041759032657</v>
      </c>
      <c r="AF33" s="247">
        <f t="shared" si="26"/>
        <v>2639.6150798063777</v>
      </c>
      <c r="AG33" s="258">
        <f t="shared" si="26"/>
        <v>2772.4544117534974</v>
      </c>
      <c r="AH33" s="247">
        <f t="shared" si="26"/>
        <v>2295.0771103499155</v>
      </c>
      <c r="AI33" s="247">
        <f t="shared" si="26"/>
        <v>2240.6848493474113</v>
      </c>
      <c r="AJ33" s="247">
        <f t="shared" si="26"/>
        <v>2297.4841629817583</v>
      </c>
      <c r="AK33" s="258">
        <f t="shared" si="26"/>
        <v>2332.2411647725557</v>
      </c>
      <c r="AL33" s="247">
        <f t="shared" si="26"/>
        <v>2429.0052929816784</v>
      </c>
      <c r="AN33" s="247">
        <f>+AN12*1000000/AVERAGE(AN27,C27)</f>
        <v>3159.7559709175644</v>
      </c>
      <c r="AO33" s="247">
        <f t="shared" ref="AO33:AV33" si="27">+AO12*1000000/AVERAGE(AN27:AO27)</f>
        <v>2536.0519815413054</v>
      </c>
      <c r="AP33" s="247">
        <f t="shared" si="27"/>
        <v>2192.6021713557134</v>
      </c>
      <c r="AQ33" s="247">
        <f t="shared" si="27"/>
        <v>3509.086395224886</v>
      </c>
      <c r="AR33" s="247">
        <f t="shared" si="27"/>
        <v>3141.9968457512014</v>
      </c>
      <c r="AS33" s="247">
        <f t="shared" si="27"/>
        <v>1842.7916075945097</v>
      </c>
      <c r="AT33" s="247">
        <f t="shared" si="27"/>
        <v>2723.6435365356806</v>
      </c>
      <c r="AU33" s="247">
        <f t="shared" si="27"/>
        <v>2783.2952145160793</v>
      </c>
      <c r="AV33" s="247">
        <f t="shared" si="27"/>
        <v>2402.1103012570438</v>
      </c>
    </row>
    <row r="34" spans="2:48" x14ac:dyDescent="0.15">
      <c r="B34" s="11" t="s">
        <v>307</v>
      </c>
      <c r="C34" s="252"/>
      <c r="D34" s="252"/>
      <c r="E34" s="268"/>
      <c r="F34" s="252"/>
      <c r="G34" s="252"/>
      <c r="H34" s="252">
        <f t="shared" ref="H34:AL34" si="28">SUM(E12:H12)/AVERAGE(D40:H40)</f>
        <v>3.713697740732015E-3</v>
      </c>
      <c r="I34" s="268">
        <f t="shared" si="28"/>
        <v>3.4429385282210056E-3</v>
      </c>
      <c r="J34" s="252">
        <f t="shared" si="28"/>
        <v>3.4095759531010536E-3</v>
      </c>
      <c r="K34" s="252">
        <f t="shared" si="28"/>
        <v>3.3686567699163284E-3</v>
      </c>
      <c r="L34" s="252">
        <f t="shared" si="28"/>
        <v>3.3690621155537019E-3</v>
      </c>
      <c r="M34" s="268">
        <f t="shared" si="28"/>
        <v>4.1252149882939088E-3</v>
      </c>
      <c r="N34" s="252">
        <f t="shared" si="28"/>
        <v>4.9625878023328816E-3</v>
      </c>
      <c r="O34" s="252">
        <f t="shared" si="28"/>
        <v>5.466839195164371E-3</v>
      </c>
      <c r="P34" s="252">
        <f t="shared" si="28"/>
        <v>6.1827687596220935E-3</v>
      </c>
      <c r="Q34" s="268">
        <f t="shared" si="28"/>
        <v>7.1086556143322294E-3</v>
      </c>
      <c r="R34" s="252">
        <f t="shared" si="28"/>
        <v>6.5632708683390148E-3</v>
      </c>
      <c r="S34" s="252">
        <f t="shared" si="28"/>
        <v>6.2984664167077308E-3</v>
      </c>
      <c r="T34" s="252">
        <f t="shared" si="28"/>
        <v>5.7908409651674757E-3</v>
      </c>
      <c r="U34" s="268">
        <f t="shared" si="28"/>
        <v>4.6858705416649559E-3</v>
      </c>
      <c r="V34" s="252">
        <f t="shared" si="28"/>
        <v>4.2762630342671965E-3</v>
      </c>
      <c r="W34" s="252">
        <f t="shared" si="28"/>
        <v>4.1327844101572246E-3</v>
      </c>
      <c r="X34" s="252">
        <f t="shared" si="28"/>
        <v>3.9208450793194079E-3</v>
      </c>
      <c r="Y34" s="268">
        <f t="shared" si="28"/>
        <v>4.3263928934413678E-3</v>
      </c>
      <c r="Z34" s="252">
        <f t="shared" si="28"/>
        <v>4.8567265415610629E-3</v>
      </c>
      <c r="AA34" s="252">
        <f t="shared" si="28"/>
        <v>5.3314151501373764E-3</v>
      </c>
      <c r="AB34" s="252">
        <f t="shared" si="28"/>
        <v>5.6821877635698445E-3</v>
      </c>
      <c r="AC34" s="268">
        <f t="shared" si="28"/>
        <v>5.6698931062194998E-3</v>
      </c>
      <c r="AD34" s="252">
        <f t="shared" si="28"/>
        <v>5.6927605652120116E-3</v>
      </c>
      <c r="AE34" s="252">
        <f t="shared" si="28"/>
        <v>5.590415090997258E-3</v>
      </c>
      <c r="AF34" s="252">
        <f t="shared" si="28"/>
        <v>5.4951159764074515E-3</v>
      </c>
      <c r="AG34" s="268">
        <f t="shared" si="28"/>
        <v>5.5230295370721147E-3</v>
      </c>
      <c r="AH34" s="299">
        <f t="shared" si="28"/>
        <v>5.360086855015783E-3</v>
      </c>
      <c r="AI34" s="299">
        <f t="shared" si="28"/>
        <v>5.2752797956890684E-3</v>
      </c>
      <c r="AJ34" s="299">
        <f t="shared" si="28"/>
        <v>5.1696587437575865E-3</v>
      </c>
      <c r="AK34" s="268">
        <f t="shared" si="28"/>
        <v>5.0535795219418794E-3</v>
      </c>
      <c r="AL34" s="299">
        <f t="shared" si="28"/>
        <v>4.9680783385319749E-3</v>
      </c>
      <c r="AN34" s="252">
        <f>+AN12/AVERAGE(AN40,C40)</f>
        <v>4.7740231058677673E-3</v>
      </c>
      <c r="AO34" s="252">
        <f>+H34</f>
        <v>3.713697740732015E-3</v>
      </c>
      <c r="AP34" s="252">
        <f>+L34</f>
        <v>3.3690621155537019E-3</v>
      </c>
      <c r="AQ34" s="252">
        <f>+P34</f>
        <v>6.1827687596220935E-3</v>
      </c>
      <c r="AR34" s="252">
        <f>+T34</f>
        <v>5.7908409651674757E-3</v>
      </c>
      <c r="AS34" s="252">
        <f>+X34</f>
        <v>3.9208450793194079E-3</v>
      </c>
      <c r="AT34" s="252">
        <f>+AB34</f>
        <v>5.6821877635698445E-3</v>
      </c>
      <c r="AU34" s="252">
        <f>+AF34</f>
        <v>5.4951159764074515E-3</v>
      </c>
      <c r="AV34" s="252">
        <f>+AJ34</f>
        <v>5.1696587437575865E-3</v>
      </c>
    </row>
    <row r="35" spans="2:48"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L35" s="215"/>
      <c r="AN35" s="215"/>
      <c r="AO35" s="215"/>
      <c r="AP35" s="215"/>
      <c r="AQ35" s="215"/>
      <c r="AR35" s="215"/>
      <c r="AS35" s="215"/>
      <c r="AT35" s="215"/>
      <c r="AU35" s="215"/>
      <c r="AV35" s="215"/>
    </row>
    <row r="36" spans="2:48"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L36" s="215"/>
      <c r="AN36" s="215"/>
      <c r="AO36" s="215"/>
      <c r="AP36" s="215"/>
      <c r="AQ36" s="215"/>
      <c r="AR36" s="215"/>
      <c r="AS36" s="215"/>
      <c r="AT36" s="215"/>
      <c r="AU36" s="215"/>
      <c r="AV36" s="215"/>
    </row>
    <row r="37" spans="2:48" x14ac:dyDescent="0.15">
      <c r="B37" s="6" t="s">
        <v>29</v>
      </c>
      <c r="C37" s="247"/>
      <c r="D37" s="247">
        <v>43400</v>
      </c>
      <c r="E37" s="258"/>
      <c r="F37" s="247"/>
      <c r="G37" s="247"/>
      <c r="H37" s="247">
        <v>44750</v>
      </c>
      <c r="I37" s="258">
        <v>53100</v>
      </c>
      <c r="J37" s="247">
        <v>53460</v>
      </c>
      <c r="K37" s="247">
        <v>55120</v>
      </c>
      <c r="L37" s="247">
        <v>59920</v>
      </c>
      <c r="M37" s="258">
        <v>53730</v>
      </c>
      <c r="N37" s="247">
        <v>66780</v>
      </c>
      <c r="O37" s="247">
        <v>75590</v>
      </c>
      <c r="P37" s="247">
        <v>91530</v>
      </c>
      <c r="Q37" s="258">
        <v>106490</v>
      </c>
      <c r="R37" s="247">
        <v>117850</v>
      </c>
      <c r="S37" s="247">
        <v>121130</v>
      </c>
      <c r="T37" s="247">
        <v>132380</v>
      </c>
      <c r="U37" s="258">
        <v>130310</v>
      </c>
      <c r="V37" s="247">
        <v>117640</v>
      </c>
      <c r="W37" s="247">
        <v>115730</v>
      </c>
      <c r="X37" s="247">
        <v>125040</v>
      </c>
      <c r="Y37" s="258">
        <v>140470</v>
      </c>
      <c r="Z37" s="247">
        <v>155170</v>
      </c>
      <c r="AA37" s="247">
        <v>153770</v>
      </c>
      <c r="AB37" s="247">
        <v>159180</v>
      </c>
      <c r="AC37" s="258">
        <v>188400</v>
      </c>
      <c r="AD37" s="247">
        <v>200140</v>
      </c>
      <c r="AE37" s="247">
        <v>197750</v>
      </c>
      <c r="AF37" s="247">
        <v>204600</v>
      </c>
      <c r="AG37" s="258">
        <v>181410</v>
      </c>
      <c r="AH37" s="247">
        <v>202260</v>
      </c>
      <c r="AI37" s="247">
        <v>217040</v>
      </c>
      <c r="AJ37" s="247">
        <v>221250</v>
      </c>
      <c r="AK37" s="258">
        <v>218810</v>
      </c>
      <c r="AL37" s="247">
        <v>258970</v>
      </c>
      <c r="AN37" s="247">
        <v>43400</v>
      </c>
      <c r="AO37" s="247">
        <v>44750</v>
      </c>
      <c r="AP37" s="247">
        <f>+L37</f>
        <v>59920</v>
      </c>
      <c r="AQ37" s="247">
        <f>+P37</f>
        <v>91530</v>
      </c>
      <c r="AR37" s="247">
        <f>+T37</f>
        <v>132380</v>
      </c>
      <c r="AS37" s="247">
        <f>+X37</f>
        <v>125040</v>
      </c>
      <c r="AT37" s="247">
        <f>+AB37</f>
        <v>159180</v>
      </c>
      <c r="AU37" s="247">
        <f>+AF37</f>
        <v>204600</v>
      </c>
      <c r="AV37" s="247">
        <f>+AJ37</f>
        <v>221250</v>
      </c>
    </row>
    <row r="38" spans="2:48" x14ac:dyDescent="0.15">
      <c r="B38" s="7" t="s">
        <v>30</v>
      </c>
      <c r="C38" s="247"/>
      <c r="D38" s="247">
        <v>6600</v>
      </c>
      <c r="E38" s="258"/>
      <c r="F38" s="247"/>
      <c r="G38" s="247"/>
      <c r="H38" s="247">
        <v>6880</v>
      </c>
      <c r="I38" s="258">
        <v>8140</v>
      </c>
      <c r="J38" s="247">
        <v>8770</v>
      </c>
      <c r="K38" s="247">
        <v>9420</v>
      </c>
      <c r="L38" s="247">
        <v>10180</v>
      </c>
      <c r="M38" s="258">
        <v>9090</v>
      </c>
      <c r="N38" s="247">
        <v>10910</v>
      </c>
      <c r="O38" s="247">
        <v>11860</v>
      </c>
      <c r="P38" s="247">
        <v>13540</v>
      </c>
      <c r="Q38" s="258">
        <v>16140</v>
      </c>
      <c r="R38" s="247">
        <v>18950</v>
      </c>
      <c r="S38" s="247">
        <v>20740</v>
      </c>
      <c r="T38" s="247">
        <v>23720</v>
      </c>
      <c r="U38" s="258">
        <v>22970</v>
      </c>
      <c r="V38" s="247">
        <v>22040</v>
      </c>
      <c r="W38" s="247">
        <v>22110</v>
      </c>
      <c r="X38" s="247">
        <v>24210</v>
      </c>
      <c r="Y38" s="258">
        <v>25720</v>
      </c>
      <c r="Z38" s="247">
        <v>28690</v>
      </c>
      <c r="AA38" s="247">
        <v>28320</v>
      </c>
      <c r="AB38" s="247">
        <v>29560</v>
      </c>
      <c r="AC38" s="258">
        <v>33410</v>
      </c>
      <c r="AD38" s="247">
        <v>35510</v>
      </c>
      <c r="AE38" s="247">
        <v>37630</v>
      </c>
      <c r="AF38" s="247">
        <v>40830</v>
      </c>
      <c r="AG38" s="258">
        <v>37040</v>
      </c>
      <c r="AH38" s="247">
        <v>40440</v>
      </c>
      <c r="AI38" s="247">
        <v>43830</v>
      </c>
      <c r="AJ38" s="247">
        <v>46550</v>
      </c>
      <c r="AK38" s="258">
        <v>47610</v>
      </c>
      <c r="AL38" s="247">
        <v>58680</v>
      </c>
      <c r="AN38" s="247">
        <v>6600</v>
      </c>
      <c r="AO38" s="247">
        <v>6880</v>
      </c>
      <c r="AP38" s="247">
        <f>+L38</f>
        <v>10180</v>
      </c>
      <c r="AQ38" s="247">
        <f>+P38</f>
        <v>13540</v>
      </c>
      <c r="AR38" s="247">
        <f>+T38</f>
        <v>23720</v>
      </c>
      <c r="AS38" s="247">
        <f>+X38</f>
        <v>24210</v>
      </c>
      <c r="AT38" s="247">
        <f>+AB38</f>
        <v>29560</v>
      </c>
      <c r="AU38" s="247">
        <f>+AF38</f>
        <v>40830</v>
      </c>
      <c r="AV38" s="247">
        <f>+AJ38</f>
        <v>46550</v>
      </c>
    </row>
    <row r="39" spans="2:48" x14ac:dyDescent="0.15">
      <c r="B39" s="11" t="s">
        <v>31</v>
      </c>
      <c r="C39" s="247"/>
      <c r="D39" s="247">
        <v>7280</v>
      </c>
      <c r="E39" s="258"/>
      <c r="F39" s="247"/>
      <c r="G39" s="247"/>
      <c r="H39" s="247">
        <v>9320</v>
      </c>
      <c r="I39" s="258">
        <v>9060</v>
      </c>
      <c r="J39" s="247">
        <v>9440</v>
      </c>
      <c r="K39" s="247">
        <v>10120</v>
      </c>
      <c r="L39" s="247">
        <v>10100</v>
      </c>
      <c r="M39" s="258">
        <v>14730</v>
      </c>
      <c r="N39" s="247">
        <v>13850</v>
      </c>
      <c r="O39" s="247">
        <v>13720</v>
      </c>
      <c r="P39" s="247">
        <v>12990</v>
      </c>
      <c r="Q39" s="258">
        <v>13650</v>
      </c>
      <c r="R39" s="247">
        <v>13750</v>
      </c>
      <c r="S39" s="247">
        <v>15050</v>
      </c>
      <c r="T39" s="247">
        <v>15930</v>
      </c>
      <c r="U39" s="258">
        <v>16520</v>
      </c>
      <c r="V39" s="247">
        <v>17930</v>
      </c>
      <c r="W39" s="247">
        <v>19820</v>
      </c>
      <c r="X39" s="247">
        <v>19320</v>
      </c>
      <c r="Y39" s="258">
        <v>18370</v>
      </c>
      <c r="Z39" s="247">
        <v>17650</v>
      </c>
      <c r="AA39" s="247">
        <v>16600</v>
      </c>
      <c r="AB39" s="247">
        <v>16710</v>
      </c>
      <c r="AC39" s="258">
        <v>15940</v>
      </c>
      <c r="AD39" s="247">
        <v>16410</v>
      </c>
      <c r="AE39" s="247">
        <v>16460</v>
      </c>
      <c r="AF39" s="247">
        <v>17760</v>
      </c>
      <c r="AG39" s="258">
        <v>20190</v>
      </c>
      <c r="AH39" s="247">
        <v>20170</v>
      </c>
      <c r="AI39" s="247">
        <v>20480</v>
      </c>
      <c r="AJ39" s="247">
        <v>23080</v>
      </c>
      <c r="AK39" s="258">
        <v>24350</v>
      </c>
      <c r="AL39" s="247">
        <v>24220</v>
      </c>
      <c r="AN39" s="247">
        <v>7280</v>
      </c>
      <c r="AO39" s="247">
        <v>9320</v>
      </c>
      <c r="AP39" s="247">
        <f>+L39</f>
        <v>10100</v>
      </c>
      <c r="AQ39" s="247">
        <f>+P39</f>
        <v>12990</v>
      </c>
      <c r="AR39" s="247">
        <f>+T39</f>
        <v>15930</v>
      </c>
      <c r="AS39" s="247">
        <f>+X39</f>
        <v>19320</v>
      </c>
      <c r="AT39" s="247">
        <f>+AB39</f>
        <v>16710</v>
      </c>
      <c r="AU39" s="247">
        <f>+AF39</f>
        <v>17760</v>
      </c>
      <c r="AV39" s="247">
        <f>+AJ39</f>
        <v>23080</v>
      </c>
    </row>
    <row r="40" spans="2:48" s="12" customFormat="1" x14ac:dyDescent="0.15">
      <c r="B40" s="12" t="s">
        <v>32</v>
      </c>
      <c r="C40" s="249">
        <v>44250</v>
      </c>
      <c r="D40" s="249">
        <v>57280</v>
      </c>
      <c r="E40" s="259">
        <v>59450</v>
      </c>
      <c r="F40" s="249">
        <v>64920</v>
      </c>
      <c r="G40" s="249">
        <v>67030</v>
      </c>
      <c r="H40" s="249">
        <v>60950</v>
      </c>
      <c r="I40" s="259">
        <f t="shared" ref="I40:P40" si="29">SUM(I37:I39)</f>
        <v>70300</v>
      </c>
      <c r="J40" s="249">
        <f t="shared" si="29"/>
        <v>71670</v>
      </c>
      <c r="K40" s="249">
        <f t="shared" si="29"/>
        <v>74660</v>
      </c>
      <c r="L40" s="249">
        <f t="shared" si="29"/>
        <v>80200</v>
      </c>
      <c r="M40" s="259">
        <f t="shared" si="29"/>
        <v>77550</v>
      </c>
      <c r="N40" s="249">
        <f t="shared" si="29"/>
        <v>91540</v>
      </c>
      <c r="O40" s="249">
        <f t="shared" si="29"/>
        <v>101170</v>
      </c>
      <c r="P40" s="249">
        <f t="shared" si="29"/>
        <v>118060</v>
      </c>
      <c r="Q40" s="259">
        <f t="shared" ref="Q40:W40" si="30">SUM(Q37:Q39)</f>
        <v>136280</v>
      </c>
      <c r="R40" s="249">
        <f t="shared" si="30"/>
        <v>150550</v>
      </c>
      <c r="S40" s="249">
        <f t="shared" si="30"/>
        <v>156920</v>
      </c>
      <c r="T40" s="249">
        <f t="shared" si="30"/>
        <v>172030</v>
      </c>
      <c r="U40" s="259">
        <f t="shared" si="30"/>
        <v>169800</v>
      </c>
      <c r="V40" s="249">
        <f t="shared" si="30"/>
        <v>157610</v>
      </c>
      <c r="W40" s="249">
        <f t="shared" si="30"/>
        <v>157660</v>
      </c>
      <c r="X40" s="249">
        <f t="shared" ref="X40:AL40" si="31">SUM(X37:X39)</f>
        <v>168570</v>
      </c>
      <c r="Y40" s="259">
        <f t="shared" si="31"/>
        <v>184560</v>
      </c>
      <c r="Z40" s="249">
        <f t="shared" si="31"/>
        <v>201510</v>
      </c>
      <c r="AA40" s="249">
        <f t="shared" si="31"/>
        <v>198690</v>
      </c>
      <c r="AB40" s="249">
        <f t="shared" si="31"/>
        <v>205450</v>
      </c>
      <c r="AC40" s="259">
        <f t="shared" si="31"/>
        <v>237750</v>
      </c>
      <c r="AD40" s="249">
        <f t="shared" si="31"/>
        <v>252060</v>
      </c>
      <c r="AE40" s="249">
        <f t="shared" si="31"/>
        <v>251840</v>
      </c>
      <c r="AF40" s="249">
        <f t="shared" si="31"/>
        <v>263190</v>
      </c>
      <c r="AG40" s="259">
        <f t="shared" si="31"/>
        <v>238640</v>
      </c>
      <c r="AH40" s="249">
        <f t="shared" si="31"/>
        <v>262870</v>
      </c>
      <c r="AI40" s="249">
        <f t="shared" si="31"/>
        <v>281350</v>
      </c>
      <c r="AJ40" s="249">
        <f t="shared" si="31"/>
        <v>290880</v>
      </c>
      <c r="AK40" s="259">
        <f t="shared" si="31"/>
        <v>290770</v>
      </c>
      <c r="AL40" s="249">
        <f t="shared" si="31"/>
        <v>341870</v>
      </c>
      <c r="AM40" s="211"/>
      <c r="AN40" s="249">
        <f t="shared" ref="AN40:AS40" si="32">SUM(AN37:AN39)</f>
        <v>57280</v>
      </c>
      <c r="AO40" s="249">
        <f t="shared" si="32"/>
        <v>60950</v>
      </c>
      <c r="AP40" s="249">
        <f t="shared" si="32"/>
        <v>80200</v>
      </c>
      <c r="AQ40" s="249">
        <f t="shared" si="32"/>
        <v>118060</v>
      </c>
      <c r="AR40" s="249">
        <f t="shared" si="32"/>
        <v>172030</v>
      </c>
      <c r="AS40" s="249">
        <f t="shared" si="32"/>
        <v>168570</v>
      </c>
      <c r="AT40" s="249">
        <f>SUM(AT37:AT39)</f>
        <v>205450</v>
      </c>
      <c r="AU40" s="249">
        <f>SUM(AU37:AU39)</f>
        <v>263190</v>
      </c>
      <c r="AV40" s="249">
        <f t="shared" ref="AV40" si="33">SUM(AV37:AV39)</f>
        <v>290880</v>
      </c>
    </row>
    <row r="41" spans="2:48"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L41" s="215"/>
      <c r="AN41" s="215"/>
      <c r="AO41" s="215"/>
      <c r="AP41" s="215"/>
      <c r="AQ41" s="215"/>
      <c r="AR41" s="215"/>
      <c r="AS41" s="215"/>
      <c r="AT41" s="215"/>
      <c r="AU41" s="215"/>
      <c r="AV41" s="215"/>
    </row>
    <row r="42" spans="2:48"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L42" s="215"/>
      <c r="AN42" s="215"/>
      <c r="AO42" s="215"/>
      <c r="AP42" s="215"/>
      <c r="AQ42" s="215"/>
      <c r="AR42" s="215"/>
      <c r="AS42" s="215"/>
      <c r="AT42" s="215"/>
      <c r="AU42" s="215"/>
      <c r="AV42" s="215"/>
    </row>
    <row r="43" spans="2:48" x14ac:dyDescent="0.15">
      <c r="B43" s="11" t="s">
        <v>34</v>
      </c>
      <c r="C43" s="247"/>
      <c r="D43" s="247"/>
      <c r="E43" s="258"/>
      <c r="F43" s="247"/>
      <c r="G43" s="247"/>
      <c r="H43" s="247"/>
      <c r="I43" s="258">
        <v>1332.1759999999999</v>
      </c>
      <c r="J43" s="247">
        <v>1207.395</v>
      </c>
      <c r="K43" s="247">
        <v>1209.9780000000001</v>
      </c>
      <c r="L43" s="247">
        <v>1220.962</v>
      </c>
      <c r="M43" s="258">
        <v>1174.8219999999999</v>
      </c>
      <c r="N43" s="247">
        <v>1273.5070000000001</v>
      </c>
      <c r="O43" s="247">
        <v>1512.952</v>
      </c>
      <c r="P43" s="247">
        <v>1697.877</v>
      </c>
      <c r="Q43" s="258">
        <v>2140.9259999999999</v>
      </c>
      <c r="R43" s="247">
        <v>2206.0129999999999</v>
      </c>
      <c r="S43" s="247">
        <v>2289.6909999999998</v>
      </c>
      <c r="T43" s="247">
        <v>2404.6840000000002</v>
      </c>
      <c r="U43" s="258">
        <v>2458.8330000000001</v>
      </c>
      <c r="V43" s="247">
        <v>2529.9079999999999</v>
      </c>
      <c r="W43" s="247">
        <v>2382.33</v>
      </c>
      <c r="X43" s="247">
        <v>2466.7600000000002</v>
      </c>
      <c r="Y43" s="258">
        <v>2579.154</v>
      </c>
      <c r="Z43" s="247">
        <v>2691.69</v>
      </c>
      <c r="AA43" s="247">
        <v>2603.64</v>
      </c>
      <c r="AB43" s="247">
        <v>2604.6379999999999</v>
      </c>
      <c r="AC43" s="258">
        <v>3001.7660000000001</v>
      </c>
      <c r="AD43" s="247">
        <v>3042.21</v>
      </c>
      <c r="AE43" s="247">
        <v>2920.1729999999998</v>
      </c>
      <c r="AF43" s="247">
        <v>3081.8809999999999</v>
      </c>
      <c r="AG43" s="258">
        <v>2940.1759999999999</v>
      </c>
      <c r="AH43" s="247">
        <v>2897.9110000000001</v>
      </c>
      <c r="AI43" s="247">
        <v>2934.8440000000001</v>
      </c>
      <c r="AJ43" s="247">
        <v>2782.819</v>
      </c>
      <c r="AK43" s="258">
        <v>3001.7939999999999</v>
      </c>
      <c r="AL43" s="247">
        <v>3150.0070000000001</v>
      </c>
      <c r="AN43" s="247">
        <v>1208.9090000000001</v>
      </c>
      <c r="AO43" s="247">
        <v>1207.3810000000001</v>
      </c>
      <c r="AP43" s="247">
        <v>1220.962</v>
      </c>
      <c r="AQ43" s="247">
        <f>+P43</f>
        <v>1697.877</v>
      </c>
      <c r="AR43" s="247">
        <f>+T43</f>
        <v>2404.6840000000002</v>
      </c>
      <c r="AS43" s="247">
        <f>+X43</f>
        <v>2466.7600000000002</v>
      </c>
      <c r="AT43" s="247">
        <f>+AB43</f>
        <v>2604.6379999999999</v>
      </c>
      <c r="AU43" s="247">
        <f>+AF43</f>
        <v>3081.8809999999999</v>
      </c>
      <c r="AV43" s="247">
        <f>+AJ43</f>
        <v>2782.819</v>
      </c>
    </row>
    <row r="44" spans="2:48" x14ac:dyDescent="0.15">
      <c r="B44" s="14" t="s">
        <v>38</v>
      </c>
      <c r="C44" s="247"/>
      <c r="D44" s="247"/>
      <c r="E44" s="258"/>
      <c r="F44" s="247"/>
      <c r="G44" s="247"/>
      <c r="H44" s="247"/>
      <c r="I44" s="258">
        <f>I43</f>
        <v>1332.1759999999999</v>
      </c>
      <c r="J44" s="247">
        <f t="shared" ref="J44:T44" si="34">J43</f>
        <v>1207.395</v>
      </c>
      <c r="K44" s="247">
        <f t="shared" si="34"/>
        <v>1209.9780000000001</v>
      </c>
      <c r="L44" s="247">
        <f t="shared" si="34"/>
        <v>1220.962</v>
      </c>
      <c r="M44" s="258">
        <f t="shared" si="34"/>
        <v>1174.8219999999999</v>
      </c>
      <c r="N44" s="247">
        <f t="shared" si="34"/>
        <v>1273.5070000000001</v>
      </c>
      <c r="O44" s="247">
        <f t="shared" si="34"/>
        <v>1512.952</v>
      </c>
      <c r="P44" s="247">
        <f t="shared" si="34"/>
        <v>1697.877</v>
      </c>
      <c r="Q44" s="258">
        <f t="shared" si="34"/>
        <v>2140.9259999999999</v>
      </c>
      <c r="R44" s="247">
        <f t="shared" si="34"/>
        <v>2206.0129999999999</v>
      </c>
      <c r="S44" s="247">
        <f t="shared" si="34"/>
        <v>2289.6909999999998</v>
      </c>
      <c r="T44" s="247">
        <f t="shared" si="34"/>
        <v>2404.6840000000002</v>
      </c>
      <c r="U44" s="258">
        <f>+U43</f>
        <v>2458.8330000000001</v>
      </c>
      <c r="V44" s="247">
        <v>2529.9079999999999</v>
      </c>
      <c r="W44" s="247">
        <v>2382.33</v>
      </c>
      <c r="X44" s="247">
        <v>2466.7600000000002</v>
      </c>
      <c r="Y44" s="258">
        <v>2579.154</v>
      </c>
      <c r="Z44" s="247">
        <v>2691.69</v>
      </c>
      <c r="AA44" s="247">
        <v>2603.64</v>
      </c>
      <c r="AB44" s="247">
        <v>2604.6379999999999</v>
      </c>
      <c r="AC44" s="258">
        <v>3001.7660000000001</v>
      </c>
      <c r="AD44" s="247">
        <v>3042.21</v>
      </c>
      <c r="AE44" s="247">
        <v>2920.1729999999998</v>
      </c>
      <c r="AF44" s="247">
        <v>3081.8809999999999</v>
      </c>
      <c r="AG44" s="258">
        <v>2940.1759999999999</v>
      </c>
      <c r="AH44" s="247">
        <v>2897.9110000000001</v>
      </c>
      <c r="AI44" s="247">
        <v>2934.8440000000001</v>
      </c>
      <c r="AJ44" s="247">
        <v>2782.819</v>
      </c>
      <c r="AK44" s="258">
        <v>3001.7939999999999</v>
      </c>
      <c r="AL44" s="247">
        <v>3150.0070000000001</v>
      </c>
      <c r="AN44" s="247">
        <f>AN43</f>
        <v>1208.9090000000001</v>
      </c>
      <c r="AO44" s="247">
        <f>AO43</f>
        <v>1207.3810000000001</v>
      </c>
      <c r="AP44" s="247">
        <f>AP43</f>
        <v>1220.962</v>
      </c>
      <c r="AQ44" s="247">
        <f>AQ43</f>
        <v>1697.877</v>
      </c>
      <c r="AR44" s="247">
        <f>+T44</f>
        <v>2404.6840000000002</v>
      </c>
      <c r="AS44" s="247">
        <f>+X44</f>
        <v>2466.7600000000002</v>
      </c>
      <c r="AT44" s="247">
        <f>+AB44</f>
        <v>2604.6379999999999</v>
      </c>
      <c r="AU44" s="247">
        <f>+AF44</f>
        <v>3081.8809999999999</v>
      </c>
      <c r="AV44" s="247">
        <f>+AJ44</f>
        <v>2782.819</v>
      </c>
    </row>
    <row r="45" spans="2:48"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K45" s="258"/>
      <c r="AL45" s="247"/>
      <c r="AN45" s="247"/>
      <c r="AO45" s="247"/>
      <c r="AP45" s="247"/>
      <c r="AQ45" s="247"/>
      <c r="AR45" s="247"/>
      <c r="AS45" s="247"/>
      <c r="AT45" s="247"/>
      <c r="AU45" s="247"/>
      <c r="AV45" s="247"/>
    </row>
    <row r="46" spans="2:48"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L46" s="247"/>
      <c r="AN46" s="247"/>
      <c r="AO46" s="247"/>
      <c r="AP46" s="247"/>
      <c r="AQ46" s="247"/>
      <c r="AR46" s="247"/>
      <c r="AS46" s="247"/>
      <c r="AT46" s="247"/>
      <c r="AU46" s="247"/>
      <c r="AV46" s="247"/>
    </row>
    <row r="47" spans="2:48" x14ac:dyDescent="0.15">
      <c r="B47" s="219" t="s">
        <v>37</v>
      </c>
      <c r="C47" s="249"/>
      <c r="D47" s="249"/>
      <c r="E47" s="259"/>
      <c r="F47" s="249"/>
      <c r="G47" s="249"/>
      <c r="H47" s="249"/>
      <c r="I47" s="259">
        <f t="shared" ref="I47:W47" si="35">SUM(I45:I46,I43)</f>
        <v>1332.1759999999999</v>
      </c>
      <c r="J47" s="249">
        <f t="shared" si="35"/>
        <v>1207.395</v>
      </c>
      <c r="K47" s="249">
        <f t="shared" si="35"/>
        <v>1209.9780000000001</v>
      </c>
      <c r="L47" s="249">
        <f t="shared" si="35"/>
        <v>1220.962</v>
      </c>
      <c r="M47" s="259">
        <f t="shared" si="35"/>
        <v>1174.8219999999999</v>
      </c>
      <c r="N47" s="249">
        <f t="shared" si="35"/>
        <v>1273.5070000000001</v>
      </c>
      <c r="O47" s="249">
        <f t="shared" si="35"/>
        <v>1512.952</v>
      </c>
      <c r="P47" s="249">
        <f t="shared" si="35"/>
        <v>1697.877</v>
      </c>
      <c r="Q47" s="259">
        <f t="shared" si="35"/>
        <v>2140.9259999999999</v>
      </c>
      <c r="R47" s="249">
        <f t="shared" si="35"/>
        <v>2206.0129999999999</v>
      </c>
      <c r="S47" s="249">
        <f t="shared" si="35"/>
        <v>2289.6909999999998</v>
      </c>
      <c r="T47" s="249">
        <f t="shared" si="35"/>
        <v>2404.6840000000002</v>
      </c>
      <c r="U47" s="259">
        <f t="shared" si="35"/>
        <v>2458.8330000000001</v>
      </c>
      <c r="V47" s="249">
        <f t="shared" si="35"/>
        <v>2529.9079999999999</v>
      </c>
      <c r="W47" s="249">
        <f t="shared" si="35"/>
        <v>2382.33</v>
      </c>
      <c r="X47" s="249">
        <f t="shared" ref="X47:AD47" si="36">SUM(X45:X46,X43)</f>
        <v>2466.7600000000002</v>
      </c>
      <c r="Y47" s="259">
        <f t="shared" si="36"/>
        <v>2579.154</v>
      </c>
      <c r="Z47" s="249">
        <f t="shared" si="36"/>
        <v>2691.69</v>
      </c>
      <c r="AA47" s="249">
        <f t="shared" si="36"/>
        <v>2603.64</v>
      </c>
      <c r="AB47" s="249">
        <f t="shared" si="36"/>
        <v>2604.6379999999999</v>
      </c>
      <c r="AC47" s="259">
        <f t="shared" si="36"/>
        <v>3001.7660000000001</v>
      </c>
      <c r="AD47" s="249">
        <f t="shared" si="36"/>
        <v>3042.21</v>
      </c>
      <c r="AE47" s="249">
        <f t="shared" ref="AE47" si="37">SUM(AE45:AE46,AE43)</f>
        <v>2920.1729999999998</v>
      </c>
      <c r="AF47" s="249">
        <f t="shared" ref="AF47:AH47" si="38">SUM(AF45:AF46,AF43)</f>
        <v>3081.8809999999999</v>
      </c>
      <c r="AG47" s="259">
        <f t="shared" si="38"/>
        <v>2940.1759999999999</v>
      </c>
      <c r="AH47" s="249">
        <f t="shared" si="38"/>
        <v>2897.9110000000001</v>
      </c>
      <c r="AI47" s="249">
        <f t="shared" ref="AI47:AL47" si="39">SUM(AI45:AI46,AI43)</f>
        <v>2934.8440000000001</v>
      </c>
      <c r="AJ47" s="249">
        <f t="shared" si="39"/>
        <v>2782.819</v>
      </c>
      <c r="AK47" s="259">
        <f t="shared" si="39"/>
        <v>3001.7939999999999</v>
      </c>
      <c r="AL47" s="249">
        <f t="shared" si="39"/>
        <v>3150.0070000000001</v>
      </c>
      <c r="AM47" s="244"/>
      <c r="AN47" s="249">
        <f t="shared" ref="AN47:AS47" si="40">SUM(AN45:AN46,AN43)</f>
        <v>1208.9090000000001</v>
      </c>
      <c r="AO47" s="249">
        <f t="shared" si="40"/>
        <v>1207.3810000000001</v>
      </c>
      <c r="AP47" s="249">
        <f t="shared" si="40"/>
        <v>1220.962</v>
      </c>
      <c r="AQ47" s="249">
        <f t="shared" si="40"/>
        <v>1697.877</v>
      </c>
      <c r="AR47" s="249">
        <f t="shared" si="40"/>
        <v>2404.6840000000002</v>
      </c>
      <c r="AS47" s="249">
        <f t="shared" si="40"/>
        <v>2466.7600000000002</v>
      </c>
      <c r="AT47" s="249">
        <f>SUM(AT45:AT46,AT43)</f>
        <v>2604.6379999999999</v>
      </c>
      <c r="AU47" s="249">
        <f>SUM(AU45:AU46,AU43)</f>
        <v>3081.8809999999999</v>
      </c>
      <c r="AV47" s="249">
        <f t="shared" ref="AV47" si="41">SUM(AV45:AV46,AV43)</f>
        <v>2782.819</v>
      </c>
    </row>
    <row r="48" spans="2:48"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L48" s="215"/>
      <c r="AN48" s="215"/>
      <c r="AO48" s="215"/>
      <c r="AP48" s="215"/>
      <c r="AQ48" s="215"/>
      <c r="AR48" s="215"/>
      <c r="AS48" s="215"/>
      <c r="AT48" s="215"/>
      <c r="AU48" s="215"/>
      <c r="AV48" s="215"/>
    </row>
    <row r="49" spans="2:48" x14ac:dyDescent="0.15">
      <c r="B49" s="11" t="s">
        <v>171</v>
      </c>
      <c r="C49" s="250"/>
      <c r="D49" s="250"/>
      <c r="E49" s="262"/>
      <c r="F49" s="250"/>
      <c r="G49" s="250"/>
      <c r="H49" s="250"/>
      <c r="I49" s="262">
        <f>+I39/I40</f>
        <v>0.12887624466571834</v>
      </c>
      <c r="J49" s="250">
        <f t="shared" ref="J49:O49" si="42">+J39/J40</f>
        <v>0.1317148039626064</v>
      </c>
      <c r="K49" s="250">
        <f t="shared" si="42"/>
        <v>0.1355478167693544</v>
      </c>
      <c r="L49" s="250">
        <f t="shared" si="42"/>
        <v>0.1259351620947631</v>
      </c>
      <c r="M49" s="262">
        <f t="shared" si="42"/>
        <v>0.18994197292069631</v>
      </c>
      <c r="N49" s="250">
        <f t="shared" si="42"/>
        <v>0.15129997815162771</v>
      </c>
      <c r="O49" s="250">
        <f t="shared" si="42"/>
        <v>0.13561332410793714</v>
      </c>
      <c r="P49" s="250">
        <f t="shared" ref="P49:W49" si="43">+P39/P40</f>
        <v>0.11002879891580553</v>
      </c>
      <c r="Q49" s="262">
        <f t="shared" si="43"/>
        <v>0.10016143234517171</v>
      </c>
      <c r="R49" s="250">
        <f t="shared" si="43"/>
        <v>9.13317834606443E-2</v>
      </c>
      <c r="S49" s="250">
        <f t="shared" si="43"/>
        <v>9.5908743308692326E-2</v>
      </c>
      <c r="T49" s="250">
        <f t="shared" si="43"/>
        <v>9.2600127884671285E-2</v>
      </c>
      <c r="U49" s="262">
        <f t="shared" si="43"/>
        <v>9.7290930506478204E-2</v>
      </c>
      <c r="V49" s="250">
        <f t="shared" si="43"/>
        <v>0.11376181714358226</v>
      </c>
      <c r="W49" s="250">
        <f t="shared" si="43"/>
        <v>0.12571356082709628</v>
      </c>
      <c r="X49" s="250">
        <f t="shared" ref="X49:AD49" si="44">+X39/X40</f>
        <v>0.11461114077237942</v>
      </c>
      <c r="Y49" s="262">
        <f t="shared" si="44"/>
        <v>9.9534026874729079E-2</v>
      </c>
      <c r="Z49" s="250">
        <f t="shared" si="44"/>
        <v>8.7588705275172443E-2</v>
      </c>
      <c r="AA49" s="250">
        <f t="shared" si="44"/>
        <v>8.3547234385223212E-2</v>
      </c>
      <c r="AB49" s="250">
        <f t="shared" si="44"/>
        <v>8.1333657824288141E-2</v>
      </c>
      <c r="AC49" s="262">
        <f t="shared" si="44"/>
        <v>6.7045215562565721E-2</v>
      </c>
      <c r="AD49" s="250">
        <f t="shared" si="44"/>
        <v>6.5103546774577484E-2</v>
      </c>
      <c r="AE49" s="250">
        <f t="shared" ref="AE49" si="45">+AE39/AE40</f>
        <v>6.5358958068614997E-2</v>
      </c>
      <c r="AF49" s="250">
        <f t="shared" ref="AF49:AG49" si="46">+AF39/AF40</f>
        <v>6.7479767468368854E-2</v>
      </c>
      <c r="AG49" s="262">
        <f t="shared" si="46"/>
        <v>8.4604425075427425E-2</v>
      </c>
      <c r="AH49" s="296">
        <f t="shared" ref="AH49:AI49" si="47">+AH39/AH40</f>
        <v>7.6729942557157524E-2</v>
      </c>
      <c r="AI49" s="296">
        <f t="shared" si="47"/>
        <v>7.2791896214679228E-2</v>
      </c>
      <c r="AJ49" s="296">
        <f t="shared" ref="AJ49:AL49" si="48">+AJ39/AJ40</f>
        <v>7.9345434543454343E-2</v>
      </c>
      <c r="AK49" s="262">
        <f t="shared" si="48"/>
        <v>8.3743164700622486E-2</v>
      </c>
      <c r="AL49" s="296">
        <f t="shared" si="48"/>
        <v>7.0845643080703194E-2</v>
      </c>
      <c r="AN49" s="250">
        <f t="shared" ref="AN49:AS49" si="49">+AN39/AN40</f>
        <v>0.1270949720670391</v>
      </c>
      <c r="AO49" s="250">
        <f t="shared" si="49"/>
        <v>0.15291222313371616</v>
      </c>
      <c r="AP49" s="250">
        <f t="shared" si="49"/>
        <v>0.1259351620947631</v>
      </c>
      <c r="AQ49" s="250">
        <f t="shared" si="49"/>
        <v>0.11002879891580553</v>
      </c>
      <c r="AR49" s="250">
        <f t="shared" si="49"/>
        <v>9.2600127884671285E-2</v>
      </c>
      <c r="AS49" s="250">
        <f t="shared" si="49"/>
        <v>0.11461114077237942</v>
      </c>
      <c r="AT49" s="250">
        <f>+AT39/AT40</f>
        <v>8.1333657824288141E-2</v>
      </c>
      <c r="AU49" s="250">
        <f>+AU39/AU40</f>
        <v>6.7479767468368854E-2</v>
      </c>
      <c r="AV49" s="250">
        <f t="shared" ref="AV49" si="50">+AV39/AV40</f>
        <v>7.9345434543454343E-2</v>
      </c>
    </row>
    <row r="50" spans="2:48" x14ac:dyDescent="0.15">
      <c r="B50" s="7" t="s">
        <v>40</v>
      </c>
      <c r="C50" s="250"/>
      <c r="D50" s="250"/>
      <c r="E50" s="262"/>
      <c r="F50" s="250"/>
      <c r="G50" s="250"/>
      <c r="H50" s="250"/>
      <c r="I50" s="262">
        <f>+I47/I39</f>
        <v>0.14703929359823398</v>
      </c>
      <c r="J50" s="250">
        <f t="shared" ref="J50:O50" si="51">+J47/J39</f>
        <v>0.12790201271186441</v>
      </c>
      <c r="K50" s="250">
        <f t="shared" si="51"/>
        <v>0.11956304347826087</v>
      </c>
      <c r="L50" s="250">
        <f t="shared" si="51"/>
        <v>0.12088732673267327</v>
      </c>
      <c r="M50" s="262">
        <f t="shared" si="51"/>
        <v>7.9757094365240991E-2</v>
      </c>
      <c r="N50" s="250">
        <f t="shared" si="51"/>
        <v>9.1949963898916978E-2</v>
      </c>
      <c r="O50" s="250">
        <f t="shared" si="51"/>
        <v>0.1102734693877551</v>
      </c>
      <c r="P50" s="250">
        <f t="shared" ref="P50:W50" si="52">+P47/P39</f>
        <v>0.13070646651270207</v>
      </c>
      <c r="Q50" s="262">
        <f t="shared" si="52"/>
        <v>0.15684439560439559</v>
      </c>
      <c r="R50" s="250">
        <f t="shared" si="52"/>
        <v>0.16043730909090909</v>
      </c>
      <c r="S50" s="250">
        <f t="shared" si="52"/>
        <v>0.15213893687707639</v>
      </c>
      <c r="T50" s="250">
        <f t="shared" si="52"/>
        <v>0.15095317011927184</v>
      </c>
      <c r="U50" s="262">
        <f t="shared" si="52"/>
        <v>0.14883976997578693</v>
      </c>
      <c r="V50" s="250">
        <f t="shared" si="52"/>
        <v>0.14109916341327383</v>
      </c>
      <c r="W50" s="250">
        <f t="shared" si="52"/>
        <v>0.12019828456104945</v>
      </c>
      <c r="X50" s="250">
        <f t="shared" ref="X50:AD50" si="53">+X47/X39</f>
        <v>0.12767908902691513</v>
      </c>
      <c r="Y50" s="262">
        <f t="shared" si="53"/>
        <v>0.14040032661948829</v>
      </c>
      <c r="Z50" s="250">
        <f t="shared" si="53"/>
        <v>0.15250368271954676</v>
      </c>
      <c r="AA50" s="250">
        <f t="shared" si="53"/>
        <v>0.15684578313253011</v>
      </c>
      <c r="AB50" s="250">
        <f t="shared" si="53"/>
        <v>0.15587301017354876</v>
      </c>
      <c r="AC50" s="262">
        <f t="shared" si="53"/>
        <v>0.18831656210790465</v>
      </c>
      <c r="AD50" s="250">
        <f t="shared" si="53"/>
        <v>0.18538756855575869</v>
      </c>
      <c r="AE50" s="250">
        <f t="shared" ref="AE50" si="54">+AE47/AE39</f>
        <v>0.1774102673147023</v>
      </c>
      <c r="AF50" s="250">
        <f t="shared" ref="AF50:AG50" si="55">+AF47/AF39</f>
        <v>0.17352933558558559</v>
      </c>
      <c r="AG50" s="262">
        <f t="shared" si="55"/>
        <v>0.14562535908865776</v>
      </c>
      <c r="AH50" s="296">
        <f t="shared" ref="AH50:AI50" si="56">+AH47/AH39</f>
        <v>0.14367431829449678</v>
      </c>
      <c r="AI50" s="296">
        <f t="shared" si="56"/>
        <v>0.1433029296875</v>
      </c>
      <c r="AJ50" s="296">
        <f t="shared" ref="AJ50:AL50" si="57">+AJ47/AJ39</f>
        <v>0.12057274696707106</v>
      </c>
      <c r="AK50" s="262">
        <f t="shared" si="57"/>
        <v>0.12327696098562628</v>
      </c>
      <c r="AL50" s="296">
        <f t="shared" si="57"/>
        <v>0.13005809248554914</v>
      </c>
      <c r="AN50" s="250">
        <f t="shared" ref="AN50:AS50" si="58">+AN47/AN39</f>
        <v>0.16605892857142859</v>
      </c>
      <c r="AO50" s="250">
        <f t="shared" si="58"/>
        <v>0.12954731759656654</v>
      </c>
      <c r="AP50" s="250">
        <f t="shared" si="58"/>
        <v>0.12088732673267327</v>
      </c>
      <c r="AQ50" s="250">
        <f t="shared" si="58"/>
        <v>0.13070646651270207</v>
      </c>
      <c r="AR50" s="250">
        <f t="shared" si="58"/>
        <v>0.15095317011927184</v>
      </c>
      <c r="AS50" s="250">
        <f t="shared" si="58"/>
        <v>0.12767908902691513</v>
      </c>
      <c r="AT50" s="250">
        <f>+AT47/AT39</f>
        <v>0.15587301017354876</v>
      </c>
      <c r="AU50" s="250">
        <f>+AU47/AU39</f>
        <v>0.17352933558558559</v>
      </c>
      <c r="AV50" s="250">
        <f t="shared" ref="AV50" si="59">+AV47/AV39</f>
        <v>0.12057274696707106</v>
      </c>
    </row>
    <row r="51" spans="2:48"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L51" s="215"/>
      <c r="AN51" s="215"/>
      <c r="AO51" s="215"/>
      <c r="AP51" s="215"/>
      <c r="AQ51" s="215"/>
      <c r="AR51" s="215"/>
      <c r="AS51" s="215"/>
      <c r="AT51" s="215"/>
      <c r="AU51" s="215"/>
      <c r="AV51" s="215"/>
    </row>
    <row r="52" spans="2:48"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L52" s="215"/>
      <c r="AN52" s="215"/>
      <c r="AO52" s="215"/>
      <c r="AP52" s="215"/>
      <c r="AQ52" s="215"/>
      <c r="AR52" s="215"/>
      <c r="AS52" s="215"/>
      <c r="AT52" s="215"/>
      <c r="AU52" s="215"/>
      <c r="AV52" s="215"/>
    </row>
    <row r="53" spans="2:48" x14ac:dyDescent="0.15">
      <c r="B53" s="8" t="s">
        <v>43</v>
      </c>
      <c r="C53" s="247"/>
      <c r="D53" s="247"/>
      <c r="E53" s="258"/>
      <c r="F53" s="247"/>
      <c r="G53" s="247"/>
      <c r="H53" s="247"/>
      <c r="I53" s="258">
        <v>1173400</v>
      </c>
      <c r="J53" s="247">
        <v>980800</v>
      </c>
      <c r="K53" s="247">
        <v>1037900</v>
      </c>
      <c r="L53" s="247">
        <v>1132300</v>
      </c>
      <c r="M53" s="258">
        <v>2232100</v>
      </c>
      <c r="N53" s="247">
        <v>2450800</v>
      </c>
      <c r="O53" s="247">
        <v>2117200</v>
      </c>
      <c r="P53" s="247">
        <v>2984900</v>
      </c>
      <c r="Q53" s="258">
        <v>4619800</v>
      </c>
      <c r="R53" s="247">
        <v>3111300</v>
      </c>
      <c r="S53" s="247">
        <v>2944300</v>
      </c>
      <c r="T53" s="247">
        <v>3218600</v>
      </c>
      <c r="U53" s="258">
        <v>3152500</v>
      </c>
      <c r="V53" s="247">
        <v>2384600</v>
      </c>
      <c r="W53" s="247">
        <v>2544600</v>
      </c>
      <c r="X53" s="247">
        <v>2280700</v>
      </c>
      <c r="Y53" s="258">
        <v>2715400</v>
      </c>
      <c r="Z53" s="247">
        <v>2155500</v>
      </c>
      <c r="AA53" s="247">
        <v>2305500</v>
      </c>
      <c r="AB53" s="247">
        <v>2310400</v>
      </c>
      <c r="AC53" s="258">
        <v>2933900</v>
      </c>
      <c r="AD53" s="247">
        <v>2656200</v>
      </c>
      <c r="AE53" s="247">
        <v>2670800</v>
      </c>
      <c r="AF53" s="247">
        <v>2919000</v>
      </c>
      <c r="AG53" s="258">
        <v>3750900</v>
      </c>
      <c r="AH53" s="247">
        <v>3220500</v>
      </c>
      <c r="AI53" s="247">
        <v>3539300</v>
      </c>
      <c r="AJ53" s="247">
        <v>3685700</v>
      </c>
      <c r="AK53" s="258">
        <v>4166100</v>
      </c>
      <c r="AL53" s="247">
        <v>3839500</v>
      </c>
      <c r="AN53" s="247">
        <v>4245400</v>
      </c>
      <c r="AO53" s="247">
        <v>4009500</v>
      </c>
      <c r="AP53" s="247">
        <f>SUM(I53:L53)</f>
        <v>4324400</v>
      </c>
      <c r="AQ53" s="247">
        <f>SUM(M53:P53)</f>
        <v>9785000</v>
      </c>
      <c r="AR53" s="247">
        <f>SUM(Q53:T53)</f>
        <v>13894000</v>
      </c>
      <c r="AS53" s="247">
        <f>SUM(U53:X53)</f>
        <v>10362400</v>
      </c>
      <c r="AT53" s="247">
        <f>SUM(Y53:AB53)</f>
        <v>9486800</v>
      </c>
      <c r="AU53" s="247">
        <f>SUM(AC53:AF53)</f>
        <v>11179900</v>
      </c>
      <c r="AV53" s="247">
        <f>SUM(AG53:AJ53)</f>
        <v>14196400</v>
      </c>
    </row>
    <row r="54" spans="2:48" x14ac:dyDescent="0.15">
      <c r="B54" s="8" t="s">
        <v>396</v>
      </c>
      <c r="C54" s="247"/>
      <c r="D54" s="247"/>
      <c r="E54" s="258"/>
      <c r="F54" s="247"/>
      <c r="G54" s="247"/>
      <c r="H54" s="247"/>
      <c r="I54" s="258">
        <v>480200</v>
      </c>
      <c r="J54" s="247">
        <v>402500</v>
      </c>
      <c r="K54" s="247">
        <v>418800</v>
      </c>
      <c r="L54" s="247">
        <v>458700</v>
      </c>
      <c r="M54" s="258">
        <v>892400</v>
      </c>
      <c r="N54" s="247">
        <v>1158100</v>
      </c>
      <c r="O54" s="247">
        <v>1018300</v>
      </c>
      <c r="P54" s="247">
        <v>1468300</v>
      </c>
      <c r="Q54" s="258">
        <v>2693800</v>
      </c>
      <c r="R54" s="247">
        <v>1529500</v>
      </c>
      <c r="S54" s="247">
        <v>1365300</v>
      </c>
      <c r="T54" s="247">
        <v>1530600</v>
      </c>
      <c r="U54" s="258">
        <v>1341200</v>
      </c>
      <c r="V54" s="247">
        <v>992300</v>
      </c>
      <c r="W54" s="247">
        <v>1026000</v>
      </c>
      <c r="X54" s="247">
        <v>905300</v>
      </c>
      <c r="Y54" s="258">
        <v>1054900</v>
      </c>
      <c r="Z54" s="247">
        <v>879100</v>
      </c>
      <c r="AA54" s="247">
        <v>1021200</v>
      </c>
      <c r="AB54" s="247">
        <v>909500</v>
      </c>
      <c r="AC54" s="258">
        <v>1214700</v>
      </c>
      <c r="AD54" s="247">
        <v>1142300</v>
      </c>
      <c r="AE54" s="247">
        <v>1048200</v>
      </c>
      <c r="AF54" s="247">
        <v>1326600</v>
      </c>
      <c r="AG54" s="258">
        <v>1880300</v>
      </c>
      <c r="AH54" s="247">
        <v>1495400</v>
      </c>
      <c r="AI54" s="247">
        <v>1722700</v>
      </c>
      <c r="AJ54" s="247">
        <v>2070300</v>
      </c>
      <c r="AK54" s="258">
        <v>2212600</v>
      </c>
      <c r="AL54" s="247">
        <v>2269500</v>
      </c>
      <c r="AN54" s="247">
        <v>1817200</v>
      </c>
      <c r="AO54" s="247">
        <v>1615700</v>
      </c>
      <c r="AP54" s="247">
        <f>SUM(I54:L54)</f>
        <v>1760200</v>
      </c>
      <c r="AQ54" s="247">
        <f>SUM(M54:P54)</f>
        <v>4537100</v>
      </c>
      <c r="AR54" s="247">
        <f>SUM(Q54:T54)</f>
        <v>7119200</v>
      </c>
      <c r="AS54" s="247">
        <f>SUM(U54:X54)</f>
        <v>4264800</v>
      </c>
      <c r="AT54" s="247">
        <f>SUM(Y54:AB54)</f>
        <v>3864700</v>
      </c>
      <c r="AU54" s="247">
        <f>SUM(AC54:AF54)</f>
        <v>4731800</v>
      </c>
      <c r="AV54" s="247">
        <f>SUM(AG54:AJ54)</f>
        <v>7168700</v>
      </c>
    </row>
    <row r="55" spans="2:48" x14ac:dyDescent="0.15">
      <c r="B55" s="6" t="s">
        <v>45</v>
      </c>
      <c r="C55" s="247"/>
      <c r="D55" s="247"/>
      <c r="E55" s="258"/>
      <c r="F55" s="247"/>
      <c r="G55" s="247"/>
      <c r="H55" s="247"/>
      <c r="I55" s="258">
        <v>49892.938434000003</v>
      </c>
      <c r="J55" s="247">
        <v>40548.682637999998</v>
      </c>
      <c r="K55" s="247">
        <v>43390.524067999999</v>
      </c>
      <c r="L55" s="247">
        <v>46892.229882</v>
      </c>
      <c r="M55" s="258">
        <v>97205.152262525604</v>
      </c>
      <c r="N55" s="247">
        <v>90668.587528000004</v>
      </c>
      <c r="O55" s="247">
        <v>79540.574980999998</v>
      </c>
      <c r="P55" s="247">
        <v>101200</v>
      </c>
      <c r="Q55" s="258">
        <v>141000</v>
      </c>
      <c r="R55" s="247">
        <v>92200</v>
      </c>
      <c r="S55" s="247">
        <v>93600</v>
      </c>
      <c r="T55" s="247">
        <v>105700</v>
      </c>
      <c r="U55" s="258">
        <v>111500</v>
      </c>
      <c r="V55" s="247">
        <v>81700</v>
      </c>
      <c r="W55" s="247">
        <v>88500</v>
      </c>
      <c r="X55" s="247">
        <v>81000</v>
      </c>
      <c r="Y55" s="258">
        <v>95100</v>
      </c>
      <c r="Z55" s="247">
        <v>68200</v>
      </c>
      <c r="AA55" s="247">
        <v>74800</v>
      </c>
      <c r="AB55" s="247">
        <v>79300</v>
      </c>
      <c r="AC55" s="258">
        <v>102400</v>
      </c>
      <c r="AD55" s="247">
        <v>94200</v>
      </c>
      <c r="AE55" s="247">
        <v>95000</v>
      </c>
      <c r="AF55" s="247">
        <v>96900</v>
      </c>
      <c r="AG55" s="258">
        <v>123100</v>
      </c>
      <c r="AH55" s="247">
        <v>104000</v>
      </c>
      <c r="AI55" s="247">
        <v>105600</v>
      </c>
      <c r="AJ55" s="247">
        <v>115900</v>
      </c>
      <c r="AK55" s="258">
        <v>134600</v>
      </c>
      <c r="AL55" s="247">
        <v>131900</v>
      </c>
      <c r="AN55" s="247">
        <v>177689</v>
      </c>
      <c r="AO55" s="247">
        <v>170717.29300199999</v>
      </c>
      <c r="AP55" s="247">
        <f>SUM(I55:L55)</f>
        <v>180724.37502199999</v>
      </c>
      <c r="AQ55" s="247">
        <f>SUM(M55:P55)</f>
        <v>368614.31477152562</v>
      </c>
      <c r="AR55" s="247">
        <f>SUM(Q55:T55)</f>
        <v>432500</v>
      </c>
      <c r="AS55" s="247">
        <f>SUM(U55:X55)</f>
        <v>362700</v>
      </c>
      <c r="AT55" s="247">
        <f>SUM(Y55:AB55)</f>
        <v>317400</v>
      </c>
      <c r="AU55" s="247">
        <f>SUM(AC55:AF55)</f>
        <v>388500</v>
      </c>
      <c r="AV55" s="247">
        <f>SUM(AG55:AJ55)</f>
        <v>448600</v>
      </c>
    </row>
    <row r="56" spans="2:48" x14ac:dyDescent="0.15">
      <c r="B56" s="8" t="s">
        <v>395</v>
      </c>
      <c r="C56" s="247"/>
      <c r="D56" s="247"/>
      <c r="E56" s="258"/>
      <c r="F56" s="247"/>
      <c r="G56" s="247"/>
      <c r="H56" s="247"/>
      <c r="I56" s="258">
        <v>16200</v>
      </c>
      <c r="J56" s="247">
        <v>12700</v>
      </c>
      <c r="K56" s="247">
        <v>13200</v>
      </c>
      <c r="L56" s="247">
        <v>14100</v>
      </c>
      <c r="M56" s="258">
        <v>29300</v>
      </c>
      <c r="N56" s="247">
        <v>32500</v>
      </c>
      <c r="O56" s="247">
        <v>30100</v>
      </c>
      <c r="P56" s="247">
        <v>40800</v>
      </c>
      <c r="Q56" s="258">
        <v>65000</v>
      </c>
      <c r="R56" s="247">
        <v>35100</v>
      </c>
      <c r="S56" s="247">
        <v>31100</v>
      </c>
      <c r="T56" s="247">
        <v>38600</v>
      </c>
      <c r="U56" s="258">
        <v>37400</v>
      </c>
      <c r="V56" s="247">
        <v>27400</v>
      </c>
      <c r="W56" s="247">
        <v>28100</v>
      </c>
      <c r="X56" s="247">
        <v>22800</v>
      </c>
      <c r="Y56" s="258">
        <v>26800</v>
      </c>
      <c r="Z56" s="247">
        <v>20900</v>
      </c>
      <c r="AA56" s="247">
        <v>25600</v>
      </c>
      <c r="AB56" s="247">
        <v>25000</v>
      </c>
      <c r="AC56" s="258">
        <v>36000</v>
      </c>
      <c r="AD56" s="247">
        <v>33400</v>
      </c>
      <c r="AE56" s="247">
        <v>31100</v>
      </c>
      <c r="AF56" s="247">
        <v>41800</v>
      </c>
      <c r="AG56" s="258">
        <v>58400</v>
      </c>
      <c r="AH56" s="247">
        <v>43400</v>
      </c>
      <c r="AI56" s="247">
        <v>45700</v>
      </c>
      <c r="AJ56" s="247">
        <v>53800</v>
      </c>
      <c r="AK56" s="258">
        <v>59400</v>
      </c>
      <c r="AL56" s="247">
        <v>68100</v>
      </c>
      <c r="AN56" s="247">
        <v>55300</v>
      </c>
      <c r="AO56" s="247">
        <v>53200</v>
      </c>
      <c r="AP56" s="247">
        <f t="shared" ref="AP56" si="60">SUM(I56:L56)</f>
        <v>56200</v>
      </c>
      <c r="AQ56" s="247">
        <f t="shared" ref="AQ56" si="61">SUM(M56:P56)</f>
        <v>132700</v>
      </c>
      <c r="AR56" s="247">
        <f t="shared" ref="AR56" si="62">SUM(Q56:T56)</f>
        <v>169800</v>
      </c>
      <c r="AS56" s="247">
        <f t="shared" ref="AS56" si="63">SUM(U56:X56)</f>
        <v>115700</v>
      </c>
      <c r="AT56" s="247">
        <f t="shared" ref="AT56" si="64">SUM(Y56:AB56)</f>
        <v>98300</v>
      </c>
      <c r="AU56" s="247">
        <f t="shared" ref="AU56" si="65">SUM(AC56:AF56)</f>
        <v>142300</v>
      </c>
      <c r="AV56" s="247">
        <f t="shared" ref="AV56" si="66">SUM(AG56:AJ56)</f>
        <v>201300</v>
      </c>
    </row>
    <row r="57" spans="2:48" x14ac:dyDescent="0.15">
      <c r="B57" s="11" t="s">
        <v>46</v>
      </c>
      <c r="C57" s="247"/>
      <c r="D57" s="247"/>
      <c r="E57" s="258"/>
      <c r="F57" s="247"/>
      <c r="G57" s="247"/>
      <c r="H57" s="247"/>
      <c r="I57" s="258">
        <v>63</v>
      </c>
      <c r="J57" s="247">
        <v>55</v>
      </c>
      <c r="K57" s="247">
        <v>66</v>
      </c>
      <c r="L57" s="247">
        <v>61</v>
      </c>
      <c r="M57" s="258">
        <v>64</v>
      </c>
      <c r="N57" s="247">
        <v>58</v>
      </c>
      <c r="O57" s="247">
        <v>66</v>
      </c>
      <c r="P57" s="247">
        <v>63</v>
      </c>
      <c r="Q57" s="258">
        <v>63</v>
      </c>
      <c r="R57" s="247">
        <v>58</v>
      </c>
      <c r="S57" s="247">
        <v>66</v>
      </c>
      <c r="T57" s="247">
        <v>64</v>
      </c>
      <c r="U57" s="258">
        <v>64</v>
      </c>
      <c r="V57" s="247">
        <v>58</v>
      </c>
      <c r="W57" s="247">
        <v>66</v>
      </c>
      <c r="X57" s="247">
        <v>64</v>
      </c>
      <c r="Y57" s="258">
        <v>65</v>
      </c>
      <c r="Z57" s="247">
        <v>57</v>
      </c>
      <c r="AA57" s="247">
        <v>65</v>
      </c>
      <c r="AB57" s="247">
        <v>63</v>
      </c>
      <c r="AC57" s="258">
        <v>62</v>
      </c>
      <c r="AD57" s="247">
        <v>60</v>
      </c>
      <c r="AE57" s="247">
        <v>66</v>
      </c>
      <c r="AF57" s="247">
        <v>62</v>
      </c>
      <c r="AG57" s="258">
        <v>63</v>
      </c>
      <c r="AH57" s="247">
        <v>58</v>
      </c>
      <c r="AI57" s="247">
        <v>66</v>
      </c>
      <c r="AJ57" s="247">
        <v>62</v>
      </c>
      <c r="AK57" s="258">
        <v>63</v>
      </c>
      <c r="AL57" s="247">
        <v>59</v>
      </c>
      <c r="AN57" s="247">
        <v>252</v>
      </c>
      <c r="AO57" s="247">
        <v>246.5</v>
      </c>
      <c r="AP57" s="247">
        <f>SUM(I57:L57)</f>
        <v>245</v>
      </c>
      <c r="AQ57" s="247">
        <f>SUM(M57:P57)</f>
        <v>251</v>
      </c>
      <c r="AR57" s="247">
        <f>SUM(Q57:T57)</f>
        <v>251</v>
      </c>
      <c r="AS57" s="247">
        <f>SUM(U57:X57)</f>
        <v>252</v>
      </c>
      <c r="AT57" s="247">
        <f>SUM(Y57:AB57)</f>
        <v>250</v>
      </c>
      <c r="AU57" s="247">
        <f>SUM(AC57:AF57)</f>
        <v>250</v>
      </c>
      <c r="AV57" s="247">
        <f>SUM(AG57:AJ57)</f>
        <v>249</v>
      </c>
    </row>
    <row r="58" spans="2:48" x14ac:dyDescent="0.15">
      <c r="B58" s="11" t="s">
        <v>47</v>
      </c>
      <c r="C58" s="254"/>
      <c r="D58" s="254"/>
      <c r="E58" s="265"/>
      <c r="F58" s="254"/>
      <c r="G58" s="254"/>
      <c r="H58" s="254"/>
      <c r="I58" s="265">
        <f t="shared" ref="I58:AL58" si="67">+I53/I57/AVERAGE(H27:I27)</f>
        <v>0.18224458733264998</v>
      </c>
      <c r="J58" s="254">
        <f t="shared" si="67"/>
        <v>0.1672079444231343</v>
      </c>
      <c r="K58" s="254">
        <f t="shared" si="67"/>
        <v>0.14129162242369789</v>
      </c>
      <c r="L58" s="254">
        <f t="shared" si="67"/>
        <v>0.15905994071951338</v>
      </c>
      <c r="M58" s="265">
        <f t="shared" si="67"/>
        <v>0.26962939698492461</v>
      </c>
      <c r="N58" s="254">
        <f t="shared" si="67"/>
        <v>0.28406838597507966</v>
      </c>
      <c r="O58" s="254">
        <f t="shared" si="67"/>
        <v>0.19388811047922563</v>
      </c>
      <c r="P58" s="254">
        <f t="shared" si="67"/>
        <v>0.24760577517306026</v>
      </c>
      <c r="Q58" s="265">
        <f t="shared" si="67"/>
        <v>0.30927945478767915</v>
      </c>
      <c r="R58" s="254">
        <f t="shared" si="67"/>
        <v>0.19306497552015786</v>
      </c>
      <c r="S58" s="254">
        <f t="shared" si="67"/>
        <v>0.14835585653676775</v>
      </c>
      <c r="T58" s="254">
        <f t="shared" si="67"/>
        <v>0.1571336509920325</v>
      </c>
      <c r="U58" s="265">
        <f t="shared" si="67"/>
        <v>0.14627412769116555</v>
      </c>
      <c r="V58" s="254">
        <f t="shared" si="67"/>
        <v>0.11824501899179832</v>
      </c>
      <c r="W58" s="254">
        <f t="shared" si="67"/>
        <v>0.10782980129924613</v>
      </c>
      <c r="X58" s="254">
        <f t="shared" si="67"/>
        <v>9.700813257111747E-2</v>
      </c>
      <c r="Y58" s="265">
        <f t="shared" si="67"/>
        <v>0.1100075960905454</v>
      </c>
      <c r="Z58" s="254">
        <f t="shared" si="67"/>
        <v>9.60035274782539E-2</v>
      </c>
      <c r="AA58" s="254">
        <f t="shared" si="67"/>
        <v>8.7009029238883276E-2</v>
      </c>
      <c r="AB58" s="254">
        <f>+AB53/AB57/AVERAGE(AA27:AB27)</f>
        <v>8.7016291073711879E-2</v>
      </c>
      <c r="AC58" s="265">
        <f t="shared" si="67"/>
        <v>0.10740119778015317</v>
      </c>
      <c r="AD58" s="254">
        <f t="shared" si="67"/>
        <v>9.5378649143595826E-2</v>
      </c>
      <c r="AE58" s="254">
        <f t="shared" si="67"/>
        <v>8.2966000341705107E-2</v>
      </c>
      <c r="AF58" s="254">
        <f t="shared" si="67"/>
        <v>9.157876903577189E-2</v>
      </c>
      <c r="AG58" s="265">
        <f t="shared" si="67"/>
        <v>0.11004176182995146</v>
      </c>
      <c r="AH58" s="254">
        <f t="shared" si="67"/>
        <v>9.8171609032824458E-2</v>
      </c>
      <c r="AI58" s="254">
        <f t="shared" si="67"/>
        <v>9.0875711872153153E-2</v>
      </c>
      <c r="AJ58" s="254">
        <f t="shared" si="67"/>
        <v>9.6945163394566838E-2</v>
      </c>
      <c r="AK58" s="265">
        <f t="shared" si="67"/>
        <v>0.1036904295234362</v>
      </c>
      <c r="AL58" s="254">
        <f t="shared" si="67"/>
        <v>9.7873772276192927E-2</v>
      </c>
      <c r="AN58" s="254">
        <f>+AN53/AN57/AVERAGE(AN27,C27)</f>
        <v>0.21964570269655015</v>
      </c>
      <c r="AO58" s="254">
        <f t="shared" ref="AO58:AV58" si="68">+AO53/AO57/AVERAGE(AN27:AO27)</f>
        <v>0.17584562249876654</v>
      </c>
      <c r="AP58" s="254">
        <f t="shared" si="68"/>
        <v>0.16053308089948121</v>
      </c>
      <c r="AQ58" s="254">
        <f t="shared" si="68"/>
        <v>0.23612394757734659</v>
      </c>
      <c r="AR58" s="254">
        <f t="shared" si="68"/>
        <v>0.20463800988283465</v>
      </c>
      <c r="AS58" s="254">
        <f t="shared" si="68"/>
        <v>0.11703610337451237</v>
      </c>
      <c r="AT58" s="254">
        <f t="shared" si="68"/>
        <v>9.4856142982127231E-2</v>
      </c>
      <c r="AU58" s="254">
        <f t="shared" si="68"/>
        <v>9.3575224942456584E-2</v>
      </c>
      <c r="AV58" s="254">
        <f t="shared" si="68"/>
        <v>9.9076643702274564E-2</v>
      </c>
    </row>
    <row r="59" spans="2:48" x14ac:dyDescent="0.15">
      <c r="B59" s="11" t="s">
        <v>48</v>
      </c>
      <c r="C59" s="248"/>
      <c r="D59" s="248"/>
      <c r="E59" s="263"/>
      <c r="F59" s="248"/>
      <c r="G59" s="248"/>
      <c r="H59" s="248"/>
      <c r="I59" s="263">
        <f t="shared" ref="I59:W59" si="69">+I5/(I53/1000000)</f>
        <v>40.67802256795585</v>
      </c>
      <c r="J59" s="248">
        <f t="shared" si="69"/>
        <v>48.443777286625142</v>
      </c>
      <c r="K59" s="248">
        <f t="shared" si="69"/>
        <v>45.641803981886568</v>
      </c>
      <c r="L59" s="248">
        <f t="shared" si="69"/>
        <v>51.201803508384707</v>
      </c>
      <c r="M59" s="263">
        <f t="shared" si="69"/>
        <v>51.714805587385769</v>
      </c>
      <c r="N59" s="248">
        <f t="shared" si="69"/>
        <v>53.000370788880119</v>
      </c>
      <c r="O59" s="248">
        <f t="shared" si="69"/>
        <v>50.524195744906748</v>
      </c>
      <c r="P59" s="248">
        <f t="shared" si="69"/>
        <v>53.590868624005267</v>
      </c>
      <c r="Q59" s="263">
        <f t="shared" si="69"/>
        <v>56.17061915190056</v>
      </c>
      <c r="R59" s="248">
        <f t="shared" si="69"/>
        <v>44.517090428487919</v>
      </c>
      <c r="S59" s="248">
        <f t="shared" si="69"/>
        <v>47.784652742441487</v>
      </c>
      <c r="T59" s="248">
        <f t="shared" si="69"/>
        <v>48.391465726314465</v>
      </c>
      <c r="U59" s="263">
        <f t="shared" si="69"/>
        <v>43.387912383805805</v>
      </c>
      <c r="V59" s="248">
        <f t="shared" si="69"/>
        <v>43.519653322863206</v>
      </c>
      <c r="W59" s="248">
        <f t="shared" si="69"/>
        <v>44.854070097078228</v>
      </c>
      <c r="X59" s="248">
        <f t="shared" ref="X59:AD59" si="70">+X5/(X53/1000000)</f>
        <v>45.161572122703774</v>
      </c>
      <c r="Y59" s="263">
        <f t="shared" si="70"/>
        <v>45.351594587357923</v>
      </c>
      <c r="Z59" s="248">
        <f t="shared" si="70"/>
        <v>52.973606170587232</v>
      </c>
      <c r="AA59" s="248">
        <f t="shared" si="70"/>
        <v>53.623138142652039</v>
      </c>
      <c r="AB59" s="248">
        <f t="shared" si="70"/>
        <v>55.983524055264127</v>
      </c>
      <c r="AC59" s="263">
        <f t="shared" si="70"/>
        <v>57.462879699512825</v>
      </c>
      <c r="AD59" s="248">
        <f t="shared" si="70"/>
        <v>63.41633873357069</v>
      </c>
      <c r="AE59" s="248">
        <f t="shared" ref="AE59" si="71">+AE5/(AE53/1000000)</f>
        <v>61.911291292191031</v>
      </c>
      <c r="AF59" s="248">
        <f t="shared" ref="AF59:AG59" si="72">+AF5/(AF53/1000000)</f>
        <v>59.73285154987564</v>
      </c>
      <c r="AG59" s="263">
        <f t="shared" si="72"/>
        <v>60.112427397853942</v>
      </c>
      <c r="AH59" s="248">
        <f t="shared" ref="AH59:AI59" si="73">+AH5/(AH53/1000000)</f>
        <v>54.942412272119363</v>
      </c>
      <c r="AI59" s="248">
        <f t="shared" si="73"/>
        <v>54.315838187375505</v>
      </c>
      <c r="AJ59" s="248">
        <f t="shared" ref="AJ59:AL59" si="74">+AJ5/(AJ53/1000000)</f>
        <v>57.463910026861534</v>
      </c>
      <c r="AK59" s="263">
        <f t="shared" si="74"/>
        <v>54.818364234068916</v>
      </c>
      <c r="AL59" s="248">
        <f t="shared" si="74"/>
        <v>61.322069505289498</v>
      </c>
      <c r="AN59" s="248">
        <f t="shared" ref="AN59:AS59" si="75">+AN5/(AN53/1000000)</f>
        <v>46.515024438765408</v>
      </c>
      <c r="AO59" s="248">
        <f t="shared" si="75"/>
        <v>46.403997129612051</v>
      </c>
      <c r="AP59" s="248">
        <f t="shared" si="75"/>
        <v>46.386245238485209</v>
      </c>
      <c r="AQ59" s="248">
        <f t="shared" si="75"/>
        <v>52.351470339080329</v>
      </c>
      <c r="AR59" s="248">
        <f t="shared" si="75"/>
        <v>49.981875231351005</v>
      </c>
      <c r="AS59" s="248">
        <f t="shared" si="75"/>
        <v>44.168631148471704</v>
      </c>
      <c r="AT59" s="248">
        <f>+AT5/(AT53/1000000)</f>
        <v>51.682844268707989</v>
      </c>
      <c r="AU59" s="248">
        <f>+AU5/(AU53/1000000)</f>
        <v>60.532714259678698</v>
      </c>
      <c r="AV59" s="248">
        <f>+AV5/(AV53/1000000)</f>
        <v>56.806832854213205</v>
      </c>
    </row>
    <row r="61" spans="2:48"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N61" s="215"/>
      <c r="AO61" s="215"/>
      <c r="AP61" s="215"/>
      <c r="AQ61" s="215"/>
      <c r="AR61" s="215"/>
      <c r="AS61" s="215"/>
      <c r="AT61" s="215"/>
      <c r="AU61" s="215"/>
      <c r="AV61" s="215"/>
    </row>
    <row r="62" spans="2:48"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c r="AL62" s="287"/>
    </row>
    <row r="64" spans="2:48" ht="48" x14ac:dyDescent="0.15">
      <c r="B64" s="242" t="s">
        <v>358</v>
      </c>
    </row>
    <row r="65" spans="2:2" ht="24" x14ac:dyDescent="0.15">
      <c r="B65" s="242" t="s">
        <v>368</v>
      </c>
    </row>
  </sheetData>
  <pageMargins left="0.7" right="0.7" top="0.75" bottom="0.75" header="0.3" footer="0.3"/>
  <pageSetup paperSize="9" orientation="portrait" r:id="rId1"/>
  <ignoredErrors>
    <ignoredError sqref="H34 I53 K53:L53 I57:L58 I31:L31 I33:L34 H32:L32 P26:P30 AM5:AO5 P19 P15 P10:P13 P5 M57:X59 AP16:AR17 AP23:AS25 AP21:AS21 AP18:AS18 AP20:AR20 AS26:AS28 AP14 AS19 AS59 AR45:AS46 AS35:AS44 Y31:Y45 Z31:AB33 Y58:AB58 AC57:AD59 AE58:AE64 AE23:AE42 AC12:AE21 AP5:AU7 AS9:AU17 AF58:AI58 AF31:AH33 AC23:AD55 AT53:AU54 AS47:AS54 M31:X55 I54:L55 AV5:AV7 AT57:AU57 AS57:AS58 AJ56:AU56 AJ57:AL58 AT58:AU58 AJ55:AL55 AP55:AU55 AV34:AV56 AV9:AV28" formulaRange="1"/>
    <ignoredError sqref="AM14 AO14 AM10:AO13 AM8:AM9 AM18 AM45:AQ46 AM59:AR59 AP9:AR13 AM19:AR19 AQ14:AR14 AM15:AR15 AM26:AR28 AP8:AV8 AS34 AM47:AR54 AM55:AO55 AM57:AR58 AM34:AR44 AV29:AV33 AI31:AI33 AT30:AU30 AS30:AS33 AM29:AR33 AJ31:AL33" formula="1" formulaRange="1"/>
    <ignoredError sqref="AI29:AL30 AS29:AU29 AT31:AU3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AY65"/>
  <sheetViews>
    <sheetView showGridLines="0" zoomScaleNormal="100" workbookViewId="0">
      <pane xSplit="2" ySplit="2" topLeftCell="AC3" activePane="bottomRight" state="frozen"/>
      <selection pane="topRight"/>
      <selection pane="bottomLeft"/>
      <selection pane="bottomRight" activeCell="AL2" sqref="AL2"/>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8" width="8.1640625" style="210" customWidth="1"/>
    <col min="39" max="39" width="9.1640625" style="210"/>
    <col min="40" max="40" width="8.6640625" style="210" bestFit="1" customWidth="1"/>
    <col min="41" max="41" width="8.83203125" style="210" bestFit="1" customWidth="1"/>
    <col min="42" max="42" width="8.6640625" style="210" bestFit="1" customWidth="1"/>
    <col min="43" max="43" width="8.83203125" style="210" bestFit="1" customWidth="1"/>
    <col min="44" max="45" width="9.1640625" style="210" bestFit="1" customWidth="1"/>
    <col min="46" max="48" width="9.1640625" style="210"/>
    <col min="49" max="49" width="9.1640625" style="11"/>
    <col min="50" max="51" width="9.1640625" style="294"/>
    <col min="52" max="16384" width="9.1640625" style="11"/>
  </cols>
  <sheetData>
    <row r="2" spans="2:48" x14ac:dyDescent="0.15">
      <c r="B2" s="1" t="s">
        <v>272</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L2" s="277" t="s">
        <v>400</v>
      </c>
      <c r="AN2" s="274">
        <v>2017</v>
      </c>
      <c r="AO2" s="274">
        <v>2018</v>
      </c>
      <c r="AP2" s="274">
        <v>2019</v>
      </c>
      <c r="AQ2" s="274">
        <v>2020</v>
      </c>
      <c r="AR2" s="274">
        <v>2021</v>
      </c>
      <c r="AS2" s="274">
        <v>2022</v>
      </c>
      <c r="AT2" s="274">
        <v>2023</v>
      </c>
      <c r="AU2" s="274">
        <v>2024</v>
      </c>
      <c r="AV2" s="274">
        <v>2025</v>
      </c>
    </row>
    <row r="3" spans="2:48" x14ac:dyDescent="0.15">
      <c r="E3" s="257"/>
      <c r="I3" s="257"/>
      <c r="M3" s="257"/>
      <c r="Q3" s="257"/>
      <c r="U3" s="257"/>
      <c r="Y3" s="257"/>
      <c r="AC3" s="257"/>
      <c r="AG3" s="257"/>
      <c r="AK3" s="257"/>
    </row>
    <row r="4" spans="2:48" x14ac:dyDescent="0.15">
      <c r="B4" s="2" t="s">
        <v>12</v>
      </c>
      <c r="E4" s="257"/>
      <c r="I4" s="257"/>
      <c r="M4" s="257"/>
      <c r="Q4" s="257"/>
      <c r="U4" s="257"/>
      <c r="Y4" s="257"/>
      <c r="AC4" s="257"/>
      <c r="AG4" s="257"/>
      <c r="AK4" s="257"/>
    </row>
    <row r="5" spans="2:48" x14ac:dyDescent="0.15">
      <c r="B5" s="3" t="s">
        <v>1</v>
      </c>
      <c r="C5" s="247"/>
      <c r="D5" s="247"/>
      <c r="E5" s="258"/>
      <c r="F5" s="247"/>
      <c r="G5" s="247"/>
      <c r="H5" s="247"/>
      <c r="I5" s="258">
        <v>42.722261588312612</v>
      </c>
      <c r="J5" s="247">
        <v>33.144595386278013</v>
      </c>
      <c r="K5" s="247">
        <v>39.364436215746018</v>
      </c>
      <c r="L5" s="247">
        <v>42.975290474201998</v>
      </c>
      <c r="M5" s="258">
        <v>110.49580403840861</v>
      </c>
      <c r="N5" s="247">
        <v>97.288619361070644</v>
      </c>
      <c r="O5" s="247">
        <v>90.307888824930231</v>
      </c>
      <c r="P5" s="247">
        <v>126.44505196925189</v>
      </c>
      <c r="Q5" s="258">
        <v>220.16227672952721</v>
      </c>
      <c r="R5" s="247">
        <v>114.27457562917047</v>
      </c>
      <c r="S5" s="247">
        <v>118.89131988764149</v>
      </c>
      <c r="T5" s="247">
        <v>128.2719088678277</v>
      </c>
      <c r="U5" s="258">
        <v>156.3910073156037</v>
      </c>
      <c r="V5" s="247">
        <v>82.847297611452319</v>
      </c>
      <c r="W5" s="247">
        <v>93.274284424063239</v>
      </c>
      <c r="X5" s="247">
        <v>90.686180779649504</v>
      </c>
      <c r="Y5" s="258">
        <v>104.77985396100672</v>
      </c>
      <c r="Z5" s="247">
        <v>74.491330814712754</v>
      </c>
      <c r="AA5" s="247">
        <v>77.051992657389292</v>
      </c>
      <c r="AB5" s="247">
        <v>88.787344869104217</v>
      </c>
      <c r="AC5" s="258">
        <v>108.07807942136317</v>
      </c>
      <c r="AD5" s="247">
        <v>103.41835569637352</v>
      </c>
      <c r="AE5" s="247">
        <v>102.08144849071078</v>
      </c>
      <c r="AF5" s="247">
        <v>134.48598488967167</v>
      </c>
      <c r="AG5" s="258">
        <v>165.98458066913111</v>
      </c>
      <c r="AH5" s="247">
        <v>136.65311185844854</v>
      </c>
      <c r="AI5" s="247">
        <v>144.56870487089481</v>
      </c>
      <c r="AJ5" s="247">
        <v>173.2434704429493</v>
      </c>
      <c r="AK5" s="258">
        <v>183.46759485868699</v>
      </c>
      <c r="AL5" s="247">
        <v>186.34566256914349</v>
      </c>
      <c r="AN5" s="247">
        <v>134.73012123029446</v>
      </c>
      <c r="AO5" s="247">
        <v>153.78425853812732</v>
      </c>
      <c r="AP5" s="247">
        <f t="shared" ref="AP5:AP11" si="0">SUM(I5:L5)</f>
        <v>158.20658366453864</v>
      </c>
      <c r="AQ5" s="247">
        <f t="shared" ref="AQ5:AQ11" si="1">SUM(M5:P5)</f>
        <v>424.53736419366135</v>
      </c>
      <c r="AR5" s="247">
        <f>SUM(Q5:T5)</f>
        <v>581.60008111416687</v>
      </c>
      <c r="AS5" s="247">
        <f>SUM(U5:X5)</f>
        <v>423.19877013076871</v>
      </c>
      <c r="AT5" s="247">
        <f>SUM(Y5:AB5)</f>
        <v>345.11052230221298</v>
      </c>
      <c r="AU5" s="247">
        <f>SUM(AC5:AF5)</f>
        <v>448.06386849811912</v>
      </c>
      <c r="AV5" s="247">
        <f>SUM(AG5:AJ5)</f>
        <v>620.44986784142372</v>
      </c>
    </row>
    <row r="6" spans="2:48" x14ac:dyDescent="0.15">
      <c r="B6" s="4" t="s">
        <v>345</v>
      </c>
      <c r="C6" s="247"/>
      <c r="D6" s="247"/>
      <c r="E6" s="258"/>
      <c r="F6" s="247"/>
      <c r="G6" s="247"/>
      <c r="H6" s="247"/>
      <c r="I6" s="258">
        <v>1.8257815485616093</v>
      </c>
      <c r="J6" s="247">
        <v>2.0475880903338242</v>
      </c>
      <c r="K6" s="247">
        <v>2.6302289528932516</v>
      </c>
      <c r="L6" s="247">
        <v>2.5952544107034075</v>
      </c>
      <c r="M6" s="258">
        <v>3.5270887719340349</v>
      </c>
      <c r="N6" s="247">
        <v>5.3175642234786293</v>
      </c>
      <c r="O6" s="247">
        <v>3.7475176872736298</v>
      </c>
      <c r="P6" s="247">
        <v>5.780431563221355</v>
      </c>
      <c r="Q6" s="258">
        <v>6.1504728085769989</v>
      </c>
      <c r="R6" s="247">
        <v>6.023992110501001</v>
      </c>
      <c r="S6" s="247">
        <v>7.0350419513460016</v>
      </c>
      <c r="T6" s="247">
        <v>7.3320835979880004</v>
      </c>
      <c r="U6" s="258">
        <v>6.820084830961</v>
      </c>
      <c r="V6" s="247">
        <v>6.2852444582070008</v>
      </c>
      <c r="W6" s="247">
        <v>5.895599416921999</v>
      </c>
      <c r="X6" s="247">
        <v>5.230458113356999</v>
      </c>
      <c r="Y6" s="258">
        <v>5.9733062985490015</v>
      </c>
      <c r="Z6" s="247">
        <v>6.7687963347490001</v>
      </c>
      <c r="AA6" s="247">
        <v>7.5919812679490466</v>
      </c>
      <c r="AB6" s="247">
        <v>8.4156791525920003</v>
      </c>
      <c r="AC6" s="258">
        <v>9.2856172319239381</v>
      </c>
      <c r="AD6" s="247">
        <v>11.496502378433247</v>
      </c>
      <c r="AE6" s="247">
        <v>12.89851184986688</v>
      </c>
      <c r="AF6" s="247">
        <v>14.654500351731629</v>
      </c>
      <c r="AG6" s="258">
        <v>15.269026024783029</v>
      </c>
      <c r="AH6" s="247">
        <v>13.742859410075948</v>
      </c>
      <c r="AI6" s="247">
        <v>16.672116125940097</v>
      </c>
      <c r="AJ6" s="247">
        <v>17.89638943726635</v>
      </c>
      <c r="AK6" s="258">
        <v>18.06405592441067</v>
      </c>
      <c r="AL6" s="247">
        <v>20.145841359148648</v>
      </c>
      <c r="AN6" s="247">
        <v>5.017709657384815</v>
      </c>
      <c r="AO6" s="247">
        <v>8.4624096034785286</v>
      </c>
      <c r="AP6" s="247">
        <f t="shared" si="0"/>
        <v>9.0988530024920937</v>
      </c>
      <c r="AQ6" s="247">
        <f t="shared" si="1"/>
        <v>18.37260224590765</v>
      </c>
      <c r="AR6" s="247">
        <f>SUM(Q6:T6)</f>
        <v>26.541590468412</v>
      </c>
      <c r="AS6" s="247">
        <f>SUM(U6:X6)</f>
        <v>24.231386819447</v>
      </c>
      <c r="AT6" s="247">
        <f>SUM(Y6:AB6)</f>
        <v>28.749763053839047</v>
      </c>
      <c r="AU6" s="247">
        <f>SUM(AC6:AF6)</f>
        <v>48.335131811955691</v>
      </c>
      <c r="AV6" s="247">
        <f>SUM(AG6:AJ6)</f>
        <v>63.580390998065425</v>
      </c>
    </row>
    <row r="7" spans="2:48" x14ac:dyDescent="0.15">
      <c r="B7" s="4" t="s">
        <v>344</v>
      </c>
      <c r="C7" s="247"/>
      <c r="D7" s="247"/>
      <c r="E7" s="258"/>
      <c r="F7" s="247"/>
      <c r="G7" s="247"/>
      <c r="H7" s="247"/>
      <c r="I7" s="258">
        <v>0.47223497756799904</v>
      </c>
      <c r="J7" s="247">
        <v>-0.4314448758990006</v>
      </c>
      <c r="K7" s="247">
        <v>1.4912316945001169E-2</v>
      </c>
      <c r="L7" s="247">
        <v>0.75793056564015782</v>
      </c>
      <c r="M7" s="258">
        <v>0.20222927317369388</v>
      </c>
      <c r="N7" s="247">
        <v>0.33375100074957498</v>
      </c>
      <c r="O7" s="247">
        <v>0.7081421044907219</v>
      </c>
      <c r="P7" s="247">
        <v>0.71239412046925299</v>
      </c>
      <c r="Q7" s="258">
        <v>1.1135478353556278</v>
      </c>
      <c r="R7" s="247">
        <v>2.1420459260798674</v>
      </c>
      <c r="S7" s="247">
        <v>2.9365887814727882</v>
      </c>
      <c r="T7" s="247">
        <v>1.7771243355950341</v>
      </c>
      <c r="U7" s="258">
        <v>0.78251577169792697</v>
      </c>
      <c r="V7" s="247">
        <v>0.83257838827027664</v>
      </c>
      <c r="W7" s="247">
        <v>2.3855411660407642</v>
      </c>
      <c r="X7" s="247">
        <v>1.8806139777192428</v>
      </c>
      <c r="Y7" s="258">
        <v>2.0320349410892473</v>
      </c>
      <c r="Z7" s="247">
        <v>2.0361944402669967</v>
      </c>
      <c r="AA7" s="247">
        <v>0.80112018754850511</v>
      </c>
      <c r="AB7" s="247">
        <v>2.960732072290253</v>
      </c>
      <c r="AC7" s="258">
        <v>2.0516330398107172</v>
      </c>
      <c r="AD7" s="247">
        <v>1.1828223920080327</v>
      </c>
      <c r="AE7" s="247">
        <v>-2.2861711827916036</v>
      </c>
      <c r="AF7" s="247">
        <v>-3.9424377848433334E-2</v>
      </c>
      <c r="AG7" s="258">
        <v>0.37402986715370601</v>
      </c>
      <c r="AH7" s="247">
        <v>-1.7200129209548385</v>
      </c>
      <c r="AI7" s="247">
        <v>1.5405978673643339</v>
      </c>
      <c r="AJ7" s="247">
        <v>0.41252720378245228</v>
      </c>
      <c r="AK7" s="258">
        <v>0.50460466351601663</v>
      </c>
      <c r="AL7" s="247">
        <v>-0.30661056179520113</v>
      </c>
      <c r="AN7" s="247">
        <v>0.65446125378232178</v>
      </c>
      <c r="AO7" s="247">
        <v>2.8528017260653691</v>
      </c>
      <c r="AP7" s="247">
        <f>SUM(I7:L7)</f>
        <v>0.81363298425415742</v>
      </c>
      <c r="AQ7" s="247">
        <f>SUM(M7:P7)</f>
        <v>1.9565164988832437</v>
      </c>
      <c r="AR7" s="247">
        <f>SUM(Q7:T7)</f>
        <v>7.9693068785033176</v>
      </c>
      <c r="AS7" s="247">
        <f>SUM(U7:X7)</f>
        <v>5.881249303728211</v>
      </c>
      <c r="AT7" s="247">
        <f>SUM(Y7:AB7)</f>
        <v>7.8300816411950018</v>
      </c>
      <c r="AU7" s="247">
        <f>SUM(AC7:AF7)</f>
        <v>0.90885987117871325</v>
      </c>
      <c r="AV7" s="247">
        <f>SUM(AG7:AJ7)</f>
        <v>0.60714201734565387</v>
      </c>
    </row>
    <row r="8" spans="2:48" s="12" customFormat="1" x14ac:dyDescent="0.15">
      <c r="B8" s="5" t="s">
        <v>138</v>
      </c>
      <c r="C8" s="249"/>
      <c r="D8" s="249"/>
      <c r="E8" s="259"/>
      <c r="F8" s="249"/>
      <c r="G8" s="249"/>
      <c r="H8" s="249"/>
      <c r="I8" s="259">
        <f t="shared" ref="I8:X8" si="2">SUM(I5:I7)</f>
        <v>45.02027811444222</v>
      </c>
      <c r="J8" s="249">
        <f t="shared" si="2"/>
        <v>34.760738600712834</v>
      </c>
      <c r="K8" s="249">
        <f t="shared" si="2"/>
        <v>42.009577485584273</v>
      </c>
      <c r="L8" s="249">
        <f t="shared" si="2"/>
        <v>46.328475450545561</v>
      </c>
      <c r="M8" s="259">
        <f t="shared" si="2"/>
        <v>114.22512208351634</v>
      </c>
      <c r="N8" s="249">
        <f t="shared" si="2"/>
        <v>102.93993458529884</v>
      </c>
      <c r="O8" s="249">
        <f t="shared" si="2"/>
        <v>94.763548616694578</v>
      </c>
      <c r="P8" s="249">
        <f t="shared" si="2"/>
        <v>132.93787765294249</v>
      </c>
      <c r="Q8" s="259">
        <f t="shared" si="2"/>
        <v>227.42629737345985</v>
      </c>
      <c r="R8" s="249">
        <f t="shared" si="2"/>
        <v>122.44061366575134</v>
      </c>
      <c r="S8" s="249">
        <f t="shared" si="2"/>
        <v>128.86295062046028</v>
      </c>
      <c r="T8" s="249">
        <f t="shared" si="2"/>
        <v>137.38111680141074</v>
      </c>
      <c r="U8" s="259">
        <f t="shared" si="2"/>
        <v>163.99360791826263</v>
      </c>
      <c r="V8" s="249">
        <f t="shared" si="2"/>
        <v>89.965120457929601</v>
      </c>
      <c r="W8" s="249">
        <f t="shared" si="2"/>
        <v>101.555425007026</v>
      </c>
      <c r="X8" s="249">
        <f t="shared" si="2"/>
        <v>97.797252870725742</v>
      </c>
      <c r="Y8" s="259">
        <f>SUM(Y5:Y7)</f>
        <v>112.78519520064498</v>
      </c>
      <c r="Z8" s="249">
        <f>SUM(Z5:Z7)</f>
        <v>83.296321589728748</v>
      </c>
      <c r="AA8" s="249">
        <f>SUM(AA5:AA7)</f>
        <v>85.445094112886849</v>
      </c>
      <c r="AB8" s="249">
        <f>SUM(AB5:AB7)</f>
        <v>100.16375609398648</v>
      </c>
      <c r="AC8" s="259">
        <v>119.41532969309782</v>
      </c>
      <c r="AD8" s="249">
        <f t="shared" ref="AD8:AG8" si="3">SUM(AD5:AD7)</f>
        <v>116.09768046681481</v>
      </c>
      <c r="AE8" s="249">
        <f t="shared" si="3"/>
        <v>112.69378915778606</v>
      </c>
      <c r="AF8" s="249">
        <f t="shared" si="3"/>
        <v>149.10106086355486</v>
      </c>
      <c r="AG8" s="259">
        <f t="shared" si="3"/>
        <v>181.62763656106782</v>
      </c>
      <c r="AH8" s="249">
        <f t="shared" ref="AH8:AL8" si="4">SUM(AH5:AH7)</f>
        <v>148.67595834756963</v>
      </c>
      <c r="AI8" s="249">
        <f t="shared" si="4"/>
        <v>162.78141886419925</v>
      </c>
      <c r="AJ8" s="249">
        <f t="shared" si="4"/>
        <v>191.5523870839981</v>
      </c>
      <c r="AK8" s="259">
        <f t="shared" si="4"/>
        <v>202.03625544661367</v>
      </c>
      <c r="AL8" s="249">
        <f t="shared" si="4"/>
        <v>206.18489336649694</v>
      </c>
      <c r="AM8" s="211"/>
      <c r="AN8" s="249">
        <f t="shared" ref="AN8:AS8" si="5">SUM(AN5:AN7)</f>
        <v>140.4022921414616</v>
      </c>
      <c r="AO8" s="249">
        <f t="shared" si="5"/>
        <v>165.09946986767122</v>
      </c>
      <c r="AP8" s="249">
        <f t="shared" si="5"/>
        <v>168.11906965128489</v>
      </c>
      <c r="AQ8" s="249">
        <f t="shared" si="5"/>
        <v>444.86648293845224</v>
      </c>
      <c r="AR8" s="249">
        <f t="shared" si="5"/>
        <v>616.11097846108214</v>
      </c>
      <c r="AS8" s="249">
        <f t="shared" si="5"/>
        <v>453.31140625394391</v>
      </c>
      <c r="AT8" s="249">
        <f>SUM(AT5:AT7)</f>
        <v>381.69036699724705</v>
      </c>
      <c r="AU8" s="249">
        <f>SUM(AU5:AU7)</f>
        <v>497.30786018125355</v>
      </c>
      <c r="AV8" s="249">
        <f>SUM(AV5:AV7)</f>
        <v>684.6374008568348</v>
      </c>
    </row>
    <row r="9" spans="2:48" x14ac:dyDescent="0.15">
      <c r="B9" s="6" t="s">
        <v>2</v>
      </c>
      <c r="C9" s="247"/>
      <c r="D9" s="247"/>
      <c r="E9" s="258"/>
      <c r="F9" s="247"/>
      <c r="G9" s="247"/>
      <c r="H9" s="247"/>
      <c r="I9" s="258">
        <v>5.7471846309819998</v>
      </c>
      <c r="J9" s="247">
        <v>3.9431234468429972</v>
      </c>
      <c r="K9" s="247">
        <v>4.136898825483998</v>
      </c>
      <c r="L9" s="247">
        <v>2.7540810724066982</v>
      </c>
      <c r="M9" s="258">
        <v>4.064420175350504</v>
      </c>
      <c r="N9" s="247">
        <v>1.7423100899442483</v>
      </c>
      <c r="O9" s="247">
        <v>1.7677073788710025</v>
      </c>
      <c r="P9" s="247">
        <v>1.3239187963419976</v>
      </c>
      <c r="Q9" s="258">
        <v>4.6985943816947406</v>
      </c>
      <c r="R9" s="247">
        <v>6.4374459911647195</v>
      </c>
      <c r="S9" s="247">
        <v>6.4249544289002456</v>
      </c>
      <c r="T9" s="247">
        <v>3.884596376535753</v>
      </c>
      <c r="U9" s="258">
        <v>3.4545710137245038</v>
      </c>
      <c r="V9" s="247">
        <v>10.467530607034986</v>
      </c>
      <c r="W9" s="247">
        <v>20.540494479461763</v>
      </c>
      <c r="X9" s="247">
        <v>63.710643191323712</v>
      </c>
      <c r="Y9" s="258">
        <v>96.580315787723748</v>
      </c>
      <c r="Z9" s="247">
        <v>117.95774170327896</v>
      </c>
      <c r="AA9" s="247">
        <v>130.24463159461803</v>
      </c>
      <c r="AB9" s="247">
        <v>123.76448347931178</v>
      </c>
      <c r="AC9" s="258">
        <v>115.04818321250184</v>
      </c>
      <c r="AD9" s="247">
        <v>124.03509186875981</v>
      </c>
      <c r="AE9" s="247">
        <v>119.98059024317014</v>
      </c>
      <c r="AF9" s="247">
        <v>126.40053110930555</v>
      </c>
      <c r="AG9" s="258">
        <v>114.01085598202661</v>
      </c>
      <c r="AH9" s="247">
        <v>116.97418669518758</v>
      </c>
      <c r="AI9" s="247">
        <v>112.37401314653292</v>
      </c>
      <c r="AJ9" s="247">
        <v>110.62708069061823</v>
      </c>
      <c r="AK9" s="258">
        <v>107.89161160203372</v>
      </c>
      <c r="AL9" s="247">
        <v>126.88826496051387</v>
      </c>
      <c r="AN9" s="247">
        <v>19.9304879173133</v>
      </c>
      <c r="AO9" s="247">
        <v>19.546222109309085</v>
      </c>
      <c r="AP9" s="247">
        <f t="shared" si="0"/>
        <v>16.581287975715693</v>
      </c>
      <c r="AQ9" s="247">
        <f t="shared" si="1"/>
        <v>8.8983564405077527</v>
      </c>
      <c r="AR9" s="247">
        <f>SUM(Q9:T9)</f>
        <v>21.445591178295459</v>
      </c>
      <c r="AS9" s="247">
        <f>SUM(U9:X9)</f>
        <v>98.173239291544974</v>
      </c>
      <c r="AT9" s="247">
        <f>SUM(Y9:AB9)</f>
        <v>468.54717256493251</v>
      </c>
      <c r="AU9" s="247">
        <f>SUM(AC9:AF9)</f>
        <v>485.46439643373731</v>
      </c>
      <c r="AV9" s="247">
        <f>SUM(AG9:AJ9)</f>
        <v>453.98613651436534</v>
      </c>
    </row>
    <row r="10" spans="2:48" x14ac:dyDescent="0.15">
      <c r="B10" s="6" t="s">
        <v>3</v>
      </c>
      <c r="C10" s="247"/>
      <c r="D10" s="247"/>
      <c r="E10" s="258"/>
      <c r="F10" s="247"/>
      <c r="G10" s="247"/>
      <c r="H10" s="247"/>
      <c r="I10" s="258">
        <f>16.704318737737-I20</f>
        <v>0.26081873773700082</v>
      </c>
      <c r="J10" s="247">
        <v>0.6709421984980013</v>
      </c>
      <c r="K10" s="247">
        <v>0.64402675401399934</v>
      </c>
      <c r="L10" s="247">
        <v>3.2331028164942752E-2</v>
      </c>
      <c r="M10" s="258">
        <v>-2.0390904191534576</v>
      </c>
      <c r="N10" s="247">
        <v>-1.2111047097754666</v>
      </c>
      <c r="O10" s="247">
        <v>0.58755843606841196</v>
      </c>
      <c r="P10" s="247">
        <v>-1.4710440281774997</v>
      </c>
      <c r="Q10" s="258">
        <v>-0.32075761084649712</v>
      </c>
      <c r="R10" s="247">
        <v>-2.185932532547489</v>
      </c>
      <c r="S10" s="247">
        <v>2.2717326567505003</v>
      </c>
      <c r="T10" s="247">
        <v>0.11129595022499561</v>
      </c>
      <c r="U10" s="258">
        <v>-0.42191739596274497</v>
      </c>
      <c r="V10" s="247">
        <v>0.4159395985094983</v>
      </c>
      <c r="W10" s="247">
        <v>0.91732203721300332</v>
      </c>
      <c r="X10" s="247">
        <v>-3.7077894463744987</v>
      </c>
      <c r="Y10" s="258">
        <v>-0.5454296080532518</v>
      </c>
      <c r="Z10" s="247">
        <v>-0.63200866882350082</v>
      </c>
      <c r="AA10" s="247">
        <v>-0.3063722775840001</v>
      </c>
      <c r="AB10" s="247">
        <v>-0.51933192887000201</v>
      </c>
      <c r="AC10" s="258">
        <v>0.75269933284430413</v>
      </c>
      <c r="AD10" s="247">
        <v>-0.51121830454429806</v>
      </c>
      <c r="AE10" s="247">
        <v>0.10504388277637999</v>
      </c>
      <c r="AF10" s="247">
        <v>0.66867154485416502</v>
      </c>
      <c r="AG10" s="258">
        <v>-0.18285387975410505</v>
      </c>
      <c r="AH10" s="247">
        <v>-1.191336045340035</v>
      </c>
      <c r="AI10" s="247">
        <v>-0.78147040361954734</v>
      </c>
      <c r="AJ10" s="247">
        <v>-0.47273420642737618</v>
      </c>
      <c r="AK10" s="258">
        <v>-2.0130670425217811</v>
      </c>
      <c r="AL10" s="247">
        <v>-0.11438448020785916</v>
      </c>
      <c r="AN10" s="247">
        <v>0.21707746876021702</v>
      </c>
      <c r="AO10" s="247">
        <v>1.1225225200694076</v>
      </c>
      <c r="AP10" s="247">
        <f t="shared" si="0"/>
        <v>1.6081187184139443</v>
      </c>
      <c r="AQ10" s="247">
        <f t="shared" si="1"/>
        <v>-4.1336807210380115</v>
      </c>
      <c r="AR10" s="247">
        <f>SUM(Q10:T10)</f>
        <v>-0.12366153641849043</v>
      </c>
      <c r="AS10" s="247">
        <f>SUM(U10:X10)</f>
        <v>-2.7964452066147421</v>
      </c>
      <c r="AT10" s="247">
        <f>SUM(Y10:AB10)</f>
        <v>-2.0031424833307545</v>
      </c>
      <c r="AU10" s="247">
        <f>SUM(AC10:AF10)</f>
        <v>1.0151964559305511</v>
      </c>
      <c r="AV10" s="247">
        <f>SUM(AG10:AJ10)</f>
        <v>-2.6283945351410636</v>
      </c>
    </row>
    <row r="11" spans="2:48" x14ac:dyDescent="0.15">
      <c r="B11" s="6" t="s">
        <v>4</v>
      </c>
      <c r="C11" s="247"/>
      <c r="D11" s="247"/>
      <c r="E11" s="258"/>
      <c r="F11" s="247"/>
      <c r="G11" s="247"/>
      <c r="H11" s="247"/>
      <c r="I11" s="258">
        <v>2.4903703227509997</v>
      </c>
      <c r="J11" s="247">
        <v>4.5318746975459998</v>
      </c>
      <c r="K11" s="247">
        <v>5.1348390669500015</v>
      </c>
      <c r="L11" s="247">
        <v>9.4688611421783495</v>
      </c>
      <c r="M11" s="258">
        <v>4.2378199133671588</v>
      </c>
      <c r="N11" s="247">
        <v>7.5060498067107</v>
      </c>
      <c r="O11" s="247">
        <v>9.1554640121106967</v>
      </c>
      <c r="P11" s="247">
        <v>6.8666525136123138</v>
      </c>
      <c r="Q11" s="258">
        <v>5.7310992079057064</v>
      </c>
      <c r="R11" s="247">
        <v>20.371216119825704</v>
      </c>
      <c r="S11" s="247">
        <v>16.210058630570252</v>
      </c>
      <c r="T11" s="247">
        <v>31.097773650952107</v>
      </c>
      <c r="U11" s="258">
        <v>5.0329462102744893</v>
      </c>
      <c r="V11" s="247">
        <v>16.039231130101381</v>
      </c>
      <c r="W11" s="247">
        <v>5.874802528792098</v>
      </c>
      <c r="X11" s="247">
        <v>12.328224150066331</v>
      </c>
      <c r="Y11" s="258">
        <v>5.8032094351895607</v>
      </c>
      <c r="Z11" s="247">
        <v>13.134934276021186</v>
      </c>
      <c r="AA11" s="247">
        <v>7.2575718983077131</v>
      </c>
      <c r="AB11" s="247">
        <v>14.645285363669442</v>
      </c>
      <c r="AC11" s="258">
        <v>4.8126674340155153</v>
      </c>
      <c r="AD11" s="247">
        <v>17.992411367716887</v>
      </c>
      <c r="AE11" s="247">
        <v>4.7941986747508665</v>
      </c>
      <c r="AF11" s="247">
        <v>11.450475140853372</v>
      </c>
      <c r="AG11" s="258">
        <v>6.0848213682586501</v>
      </c>
      <c r="AH11" s="247">
        <v>18.99858534181055</v>
      </c>
      <c r="AI11" s="247">
        <v>4.4116220167607665</v>
      </c>
      <c r="AJ11" s="247">
        <v>19.04147414314702</v>
      </c>
      <c r="AK11" s="258">
        <v>6.904793693588255</v>
      </c>
      <c r="AL11" s="247">
        <v>28.113170115466129</v>
      </c>
      <c r="AN11" s="247">
        <v>15.728158062976917</v>
      </c>
      <c r="AO11" s="247">
        <v>16.466178391825945</v>
      </c>
      <c r="AP11" s="247">
        <f t="shared" si="0"/>
        <v>21.625945229425348</v>
      </c>
      <c r="AQ11" s="247">
        <f t="shared" si="1"/>
        <v>27.765986245800867</v>
      </c>
      <c r="AR11" s="247">
        <f>SUM(Q11:T11)</f>
        <v>73.410147609253769</v>
      </c>
      <c r="AS11" s="247">
        <f>SUM(U11:X11)</f>
        <v>39.275204019234302</v>
      </c>
      <c r="AT11" s="247">
        <f>SUM(Y11:AB11)</f>
        <v>40.841000973187903</v>
      </c>
      <c r="AU11" s="247">
        <f>SUM(AC11:AF11)</f>
        <v>39.049752617336644</v>
      </c>
      <c r="AV11" s="247">
        <f>SUM(AG11:AJ11)</f>
        <v>48.536502869976985</v>
      </c>
    </row>
    <row r="12" spans="2:48" x14ac:dyDescent="0.15">
      <c r="B12" s="243" t="s">
        <v>172</v>
      </c>
      <c r="C12" s="249"/>
      <c r="D12" s="249"/>
      <c r="E12" s="259">
        <v>53.977627681277369</v>
      </c>
      <c r="F12" s="249">
        <v>44.331744979076177</v>
      </c>
      <c r="G12" s="249">
        <v>40.972692562925211</v>
      </c>
      <c r="H12" s="249">
        <v>57.302575665596926</v>
      </c>
      <c r="I12" s="259">
        <f>SUM(I8:I11)</f>
        <v>53.518651805912221</v>
      </c>
      <c r="J12" s="249">
        <f t="shared" ref="J12:X12" si="6">SUM(J8:J11)</f>
        <v>43.906678943599836</v>
      </c>
      <c r="K12" s="249">
        <f t="shared" si="6"/>
        <v>51.92534213203227</v>
      </c>
      <c r="L12" s="249">
        <f t="shared" si="6"/>
        <v>58.583748693295547</v>
      </c>
      <c r="M12" s="259">
        <f t="shared" si="6"/>
        <v>120.48827175308055</v>
      </c>
      <c r="N12" s="249">
        <f t="shared" si="6"/>
        <v>110.97718977217833</v>
      </c>
      <c r="O12" s="249">
        <f t="shared" si="6"/>
        <v>106.27427844374469</v>
      </c>
      <c r="P12" s="249">
        <f t="shared" si="6"/>
        <v>139.6574049347193</v>
      </c>
      <c r="Q12" s="259">
        <f t="shared" si="6"/>
        <v>237.53523335221379</v>
      </c>
      <c r="R12" s="249">
        <f t="shared" si="6"/>
        <v>147.0633432441943</v>
      </c>
      <c r="S12" s="249">
        <f t="shared" si="6"/>
        <v>153.76969633668125</v>
      </c>
      <c r="T12" s="249">
        <f t="shared" si="6"/>
        <v>172.47478277912359</v>
      </c>
      <c r="U12" s="259">
        <f t="shared" si="6"/>
        <v>172.05920774629888</v>
      </c>
      <c r="V12" s="249">
        <f t="shared" si="6"/>
        <v>116.88782179357547</v>
      </c>
      <c r="W12" s="249">
        <f t="shared" si="6"/>
        <v>128.88804405249286</v>
      </c>
      <c r="X12" s="249">
        <f t="shared" si="6"/>
        <v>170.12833076574125</v>
      </c>
      <c r="Y12" s="259">
        <f>SUM(Y8:Y11)</f>
        <v>214.62329081550504</v>
      </c>
      <c r="Z12" s="249">
        <f>SUM(Z8:Z11)</f>
        <v>213.75698890020541</v>
      </c>
      <c r="AA12" s="249">
        <f>SUM(AA8:AA11)</f>
        <v>222.64092532822858</v>
      </c>
      <c r="AB12" s="249">
        <f>SUM(AB8:AB11)</f>
        <v>238.05419300809768</v>
      </c>
      <c r="AC12" s="259">
        <f>SUM(AC8:AC11)</f>
        <v>240.02887967245948</v>
      </c>
      <c r="AD12" s="249">
        <f t="shared" ref="AD12:AL12" si="7">SUM(AD8:AD11)</f>
        <v>257.61396539874721</v>
      </c>
      <c r="AE12" s="249">
        <f t="shared" si="7"/>
        <v>237.57362195848344</v>
      </c>
      <c r="AF12" s="249">
        <f t="shared" si="7"/>
        <v>287.62073865856797</v>
      </c>
      <c r="AG12" s="259">
        <f t="shared" si="7"/>
        <v>301.54046003159903</v>
      </c>
      <c r="AH12" s="249">
        <f t="shared" si="7"/>
        <v>283.45739433922773</v>
      </c>
      <c r="AI12" s="249">
        <f t="shared" si="7"/>
        <v>278.78558362387338</v>
      </c>
      <c r="AJ12" s="249">
        <f t="shared" si="7"/>
        <v>320.74820771133597</v>
      </c>
      <c r="AK12" s="259">
        <f t="shared" si="7"/>
        <v>314.81959369971389</v>
      </c>
      <c r="AL12" s="249">
        <f t="shared" si="7"/>
        <v>361.07194396226907</v>
      </c>
      <c r="AN12" s="249">
        <f t="shared" ref="AN12:AU12" si="8">SUM(AN8:AN11)</f>
        <v>176.27801559051204</v>
      </c>
      <c r="AO12" s="249">
        <f t="shared" si="8"/>
        <v>202.23439288887562</v>
      </c>
      <c r="AP12" s="249">
        <f t="shared" si="8"/>
        <v>207.93442157483989</v>
      </c>
      <c r="AQ12" s="249">
        <f t="shared" si="8"/>
        <v>477.3971449037229</v>
      </c>
      <c r="AR12" s="249">
        <f t="shared" si="8"/>
        <v>710.84305571221284</v>
      </c>
      <c r="AS12" s="249">
        <f t="shared" si="8"/>
        <v>587.96340435810839</v>
      </c>
      <c r="AT12" s="249">
        <f t="shared" si="8"/>
        <v>889.07539805203669</v>
      </c>
      <c r="AU12" s="249">
        <f t="shared" si="8"/>
        <v>1022.837205688258</v>
      </c>
      <c r="AV12" s="249">
        <f t="shared" ref="AV12" si="9">SUM(AV8:AV11)</f>
        <v>1184.5316457060362</v>
      </c>
    </row>
    <row r="13" spans="2:48" x14ac:dyDescent="0.15">
      <c r="B13" s="7"/>
      <c r="E13" s="257"/>
      <c r="I13" s="257"/>
      <c r="M13" s="257"/>
      <c r="Q13" s="257"/>
      <c r="U13" s="257"/>
      <c r="Y13" s="257"/>
      <c r="AC13" s="257"/>
      <c r="AG13" s="257"/>
      <c r="AK13" s="257"/>
    </row>
    <row r="14" spans="2:48" x14ac:dyDescent="0.15">
      <c r="B14" s="2" t="s">
        <v>290</v>
      </c>
      <c r="C14" s="249"/>
      <c r="D14" s="249"/>
      <c r="E14" s="259"/>
      <c r="F14" s="249"/>
      <c r="G14" s="249"/>
      <c r="H14" s="249"/>
      <c r="I14" s="259">
        <v>-47.715080289161619</v>
      </c>
      <c r="J14" s="249">
        <v>-49.014177608887252</v>
      </c>
      <c r="K14" s="249">
        <v>-46.671976840181571</v>
      </c>
      <c r="L14" s="249">
        <f>-63.6148242116639-L21</f>
        <v>-56.114824211663901</v>
      </c>
      <c r="M14" s="259">
        <v>-48.292747642814881</v>
      </c>
      <c r="N14" s="249">
        <f>-55.6844871739849-N21</f>
        <v>-52.934487173984898</v>
      </c>
      <c r="O14" s="249">
        <f>-55.3349539301292-O21</f>
        <v>-50.599953930129203</v>
      </c>
      <c r="P14" s="249">
        <f>-80.3922869029517-P21</f>
        <v>-55.549786902951695</v>
      </c>
      <c r="Q14" s="259">
        <v>-56.100386541760841</v>
      </c>
      <c r="R14" s="249">
        <v>-56.628430085945055</v>
      </c>
      <c r="S14" s="249">
        <v>-54.606122906641893</v>
      </c>
      <c r="T14" s="249">
        <v>-59.170644523218193</v>
      </c>
      <c r="U14" s="259">
        <f>-59.9344676298413-U21</f>
        <v>-59.458467629841302</v>
      </c>
      <c r="V14" s="249">
        <v>-54.261446422357842</v>
      </c>
      <c r="W14" s="249">
        <v>-52.749618513762314</v>
      </c>
      <c r="X14" s="249">
        <v>-57.438149281536951</v>
      </c>
      <c r="Y14" s="259">
        <v>-57.434695101316663</v>
      </c>
      <c r="Z14" s="249">
        <v>-65.979882231366133</v>
      </c>
      <c r="AA14" s="249">
        <v>-67.068006652765234</v>
      </c>
      <c r="AB14" s="249">
        <v>-70.470068494252686</v>
      </c>
      <c r="AC14" s="259">
        <v>-73.275562602391346</v>
      </c>
      <c r="AD14" s="249">
        <v>-71.471188856229858</v>
      </c>
      <c r="AE14" s="249">
        <v>-74.755987341459601</v>
      </c>
      <c r="AF14" s="249">
        <v>-79.627940385519395</v>
      </c>
      <c r="AG14" s="259">
        <v>-82.048385261126967</v>
      </c>
      <c r="AH14" s="249">
        <v>-83.52639797568122</v>
      </c>
      <c r="AI14" s="249">
        <v>-81.197073110553987</v>
      </c>
      <c r="AJ14" s="249">
        <v>-86.371251429598857</v>
      </c>
      <c r="AK14" s="259">
        <v>-95.396059381884626</v>
      </c>
      <c r="AL14" s="249">
        <v>-93.140656449417762</v>
      </c>
      <c r="AN14" s="249">
        <f>-172.120017488683-AN21</f>
        <v>-160.870017488683</v>
      </c>
      <c r="AO14" s="249">
        <v>-203.20167799785733</v>
      </c>
      <c r="AP14" s="249">
        <f>SUM(I14:L14)</f>
        <v>-199.51605894989433</v>
      </c>
      <c r="AQ14" s="249">
        <f>SUM(M14:P14)</f>
        <v>-207.37697564988068</v>
      </c>
      <c r="AR14" s="249">
        <f>SUM(Q14:T14)</f>
        <v>-226.50558405756598</v>
      </c>
      <c r="AS14" s="249">
        <f>SUM(U14:X14)</f>
        <v>-223.9076818474984</v>
      </c>
      <c r="AT14" s="249">
        <f>SUM(Y14:AB14)</f>
        <v>-260.9526524797007</v>
      </c>
      <c r="AU14" s="249">
        <f>SUM(AC14:AF14)</f>
        <v>-299.13067918560023</v>
      </c>
      <c r="AV14" s="249">
        <f>SUM(AG14:AJ14)</f>
        <v>-333.14310777696102</v>
      </c>
    </row>
    <row r="15" spans="2:48" x14ac:dyDescent="0.15">
      <c r="B15" s="7"/>
      <c r="E15" s="257"/>
      <c r="I15" s="257"/>
      <c r="M15" s="257"/>
      <c r="Q15" s="257"/>
      <c r="U15" s="257"/>
      <c r="Y15" s="257"/>
      <c r="AC15" s="257"/>
      <c r="AG15" s="257"/>
      <c r="AK15" s="257"/>
    </row>
    <row r="16" spans="2:48" x14ac:dyDescent="0.15">
      <c r="B16" s="6" t="s">
        <v>10</v>
      </c>
      <c r="C16" s="247"/>
      <c r="D16" s="247"/>
      <c r="E16" s="258"/>
      <c r="F16" s="247"/>
      <c r="G16" s="247"/>
      <c r="H16" s="247"/>
      <c r="I16" s="258">
        <v>5.3361236079999985E-2</v>
      </c>
      <c r="J16" s="247">
        <v>8.057582333000031E-3</v>
      </c>
      <c r="K16" s="247">
        <v>-5.4220345136000075E-2</v>
      </c>
      <c r="L16" s="247">
        <v>0.19997326540299998</v>
      </c>
      <c r="M16" s="258">
        <v>-0.50833955508899997</v>
      </c>
      <c r="N16" s="247">
        <v>0.52887141278399996</v>
      </c>
      <c r="O16" s="247">
        <v>2.1435546736000011E-2</v>
      </c>
      <c r="P16" s="247">
        <v>0.140055759158</v>
      </c>
      <c r="Q16" s="258">
        <v>-9.0225126172999964E-2</v>
      </c>
      <c r="R16" s="247">
        <v>0.17969306130500001</v>
      </c>
      <c r="S16" s="247">
        <v>-0.10517505545999999</v>
      </c>
      <c r="T16" s="247">
        <v>0.52246219729599996</v>
      </c>
      <c r="U16" s="258">
        <v>-1.8217619488000034E-2</v>
      </c>
      <c r="V16" s="247">
        <v>-0.177546361658</v>
      </c>
      <c r="W16" s="247">
        <v>5.0660013790376109E-2</v>
      </c>
      <c r="X16" s="247">
        <v>-0.26061367159837595</v>
      </c>
      <c r="Y16" s="258">
        <v>0.29730238102700002</v>
      </c>
      <c r="Z16" s="247">
        <v>-0.21682898661199998</v>
      </c>
      <c r="AA16" s="247">
        <v>-4.9407934843000025E-2</v>
      </c>
      <c r="AB16" s="247">
        <v>7.2381853927999867E-2</v>
      </c>
      <c r="AC16" s="258">
        <v>-0.1495066862092799</v>
      </c>
      <c r="AD16" s="247">
        <v>-0.2113740334761999</v>
      </c>
      <c r="AE16" s="247">
        <v>0.21598106514183002</v>
      </c>
      <c r="AF16" s="247">
        <v>-0.17524696252570002</v>
      </c>
      <c r="AG16" s="258">
        <v>-6.6534882008300626E-3</v>
      </c>
      <c r="AH16" s="247">
        <v>-0.2072818829329548</v>
      </c>
      <c r="AI16" s="247">
        <v>0.40399714200885084</v>
      </c>
      <c r="AJ16" s="247">
        <v>7.3671717610096568E-2</v>
      </c>
      <c r="AK16" s="258">
        <v>-0.3051259663643644</v>
      </c>
      <c r="AL16" s="247">
        <v>6.507855883571366E-2</v>
      </c>
      <c r="AN16" s="247">
        <v>-6.6671117599999982E-2</v>
      </c>
      <c r="AO16" s="247">
        <v>-0.25916170456800003</v>
      </c>
      <c r="AP16" s="247">
        <f>SUM(I16:L16)</f>
        <v>0.20717173867999991</v>
      </c>
      <c r="AQ16" s="247">
        <f>SUM(M16:P16)</f>
        <v>0.182023163589</v>
      </c>
      <c r="AR16" s="247">
        <f>SUM(Q16:T16)</f>
        <v>0.50675507696800004</v>
      </c>
      <c r="AS16" s="247">
        <f>SUM(U16:X16)</f>
        <v>-0.40571763895399987</v>
      </c>
      <c r="AT16" s="247">
        <f>SUM(Y16:AB16)</f>
        <v>0.10344731349999989</v>
      </c>
      <c r="AU16" s="247">
        <f>SUM(AC16:AF16)</f>
        <v>-0.32014661706934977</v>
      </c>
      <c r="AV16" s="247">
        <f>SUM(AG16:AJ16)</f>
        <v>0.26373348848516254</v>
      </c>
    </row>
    <row r="17" spans="2:48" x14ac:dyDescent="0.15">
      <c r="B17" s="6" t="s">
        <v>340</v>
      </c>
      <c r="C17" s="247"/>
      <c r="D17" s="247"/>
      <c r="E17" s="258"/>
      <c r="F17" s="247"/>
      <c r="G17" s="247"/>
      <c r="H17" s="247"/>
      <c r="I17" s="258">
        <v>-1.39296</v>
      </c>
      <c r="J17" s="247">
        <v>-0.91732220000000009</v>
      </c>
      <c r="K17" s="247">
        <v>-1.1552861999999999</v>
      </c>
      <c r="L17" s="247">
        <v>-1.1549960000000001</v>
      </c>
      <c r="M17" s="258">
        <v>-0.93647540000000007</v>
      </c>
      <c r="N17" s="247">
        <v>-0.63669880000000001</v>
      </c>
      <c r="O17" s="247">
        <v>-0.63669880000000001</v>
      </c>
      <c r="P17" s="247">
        <v>-0.63669880000000001</v>
      </c>
      <c r="Q17" s="258">
        <v>-0.70000000000000007</v>
      </c>
      <c r="R17" s="247">
        <v>-0.70952000000000015</v>
      </c>
      <c r="S17" s="247">
        <v>-0.70448</v>
      </c>
      <c r="T17" s="247">
        <v>-0.70476000000000005</v>
      </c>
      <c r="U17" s="258">
        <v>-1.0607519999999999</v>
      </c>
      <c r="V17" s="247">
        <v>-0.96013343999999989</v>
      </c>
      <c r="W17" s="247">
        <v>-0.90987693299999972</v>
      </c>
      <c r="X17" s="247">
        <v>-0.90987693299999972</v>
      </c>
      <c r="Y17" s="258">
        <v>-0.87926399999999971</v>
      </c>
      <c r="Z17" s="247">
        <v>-0.79602550563999996</v>
      </c>
      <c r="AA17" s="247">
        <v>-0.7544065609199998</v>
      </c>
      <c r="AB17" s="247">
        <v>-0.58793002943999995</v>
      </c>
      <c r="AC17" s="258">
        <v>-0.77400000000000002</v>
      </c>
      <c r="AD17" s="247">
        <v>-0.88950324999999997</v>
      </c>
      <c r="AE17" s="247">
        <v>-0.83175174750000003</v>
      </c>
      <c r="AF17" s="247">
        <v>-0.83175175250000011</v>
      </c>
      <c r="AG17" s="258">
        <v>-0.93600000000000005</v>
      </c>
      <c r="AH17" s="247">
        <v>-0.7199474776</v>
      </c>
      <c r="AI17" s="247">
        <v>-0.61192121640000008</v>
      </c>
      <c r="AJ17" s="247">
        <v>-0.611921206</v>
      </c>
      <c r="AK17" s="258">
        <v>-0.63585000000000003</v>
      </c>
      <c r="AL17" s="247">
        <v>-0.9590628149999999</v>
      </c>
      <c r="AN17" s="247">
        <v>-4.4122051999999998</v>
      </c>
      <c r="AO17" s="247">
        <v>-5.6505019999999995</v>
      </c>
      <c r="AP17" s="247">
        <f>SUM(I17:L17)</f>
        <v>-4.6205644000000001</v>
      </c>
      <c r="AQ17" s="247">
        <f>SUM(M17:P17)</f>
        <v>-2.8465718</v>
      </c>
      <c r="AR17" s="247">
        <f>SUM(Q17:T17)</f>
        <v>-2.8187600000000002</v>
      </c>
      <c r="AS17" s="247">
        <f>SUM(U17:X17)</f>
        <v>-3.840639305999999</v>
      </c>
      <c r="AT17" s="247">
        <f>SUM(Y17:AB17)</f>
        <v>-3.0176260959999994</v>
      </c>
      <c r="AU17" s="247">
        <f>SUM(AC17:AF17)</f>
        <v>-3.3270067500000002</v>
      </c>
      <c r="AV17" s="247">
        <f>SUM(AG17:AJ17)</f>
        <v>-2.8797899</v>
      </c>
    </row>
    <row r="18" spans="2:48" x14ac:dyDescent="0.15">
      <c r="B18" s="2" t="s">
        <v>310</v>
      </c>
      <c r="C18" s="249"/>
      <c r="D18" s="249"/>
      <c r="E18" s="259"/>
      <c r="F18" s="249"/>
      <c r="G18" s="249"/>
      <c r="H18" s="249"/>
      <c r="I18" s="259">
        <f t="shared" ref="I18:X18" si="10">+I17+I16+I14+I12</f>
        <v>4.4639727528305997</v>
      </c>
      <c r="J18" s="249">
        <f t="shared" si="10"/>
        <v>-6.0167632829544146</v>
      </c>
      <c r="K18" s="249">
        <f t="shared" si="10"/>
        <v>4.0438587467146974</v>
      </c>
      <c r="L18" s="249">
        <f t="shared" si="10"/>
        <v>1.5139017470346445</v>
      </c>
      <c r="M18" s="259">
        <f t="shared" si="10"/>
        <v>70.750709155176679</v>
      </c>
      <c r="N18" s="249">
        <f t="shared" si="10"/>
        <v>57.934875210977438</v>
      </c>
      <c r="O18" s="249">
        <f t="shared" si="10"/>
        <v>55.059061260351491</v>
      </c>
      <c r="P18" s="249">
        <f t="shared" si="10"/>
        <v>83.610974990925598</v>
      </c>
      <c r="Q18" s="259">
        <f t="shared" si="10"/>
        <v>180.64462168427997</v>
      </c>
      <c r="R18" s="249">
        <f t="shared" si="10"/>
        <v>89.905086219554249</v>
      </c>
      <c r="S18" s="249">
        <f t="shared" si="10"/>
        <v>98.353918374579365</v>
      </c>
      <c r="T18" s="249">
        <f t="shared" si="10"/>
        <v>113.1218404532014</v>
      </c>
      <c r="U18" s="259">
        <f t="shared" si="10"/>
        <v>111.52177049696958</v>
      </c>
      <c r="V18" s="249">
        <f t="shared" si="10"/>
        <v>61.488695569559624</v>
      </c>
      <c r="W18" s="249">
        <f t="shared" si="10"/>
        <v>75.279208619520915</v>
      </c>
      <c r="X18" s="249">
        <f t="shared" si="10"/>
        <v>111.51969087960592</v>
      </c>
      <c r="Y18" s="259">
        <f>+Y17+Y16+Y14+Y12</f>
        <v>156.60663409521538</v>
      </c>
      <c r="Z18" s="249">
        <f>+Z17+Z16+Z14+Z12</f>
        <v>146.76425217658726</v>
      </c>
      <c r="AA18" s="249">
        <f>+AA17+AA16+AA14+AA12</f>
        <v>154.76910417970032</v>
      </c>
      <c r="AB18" s="249">
        <f>+AB17+AB16+AB14+AB12</f>
        <v>167.068576338333</v>
      </c>
      <c r="AC18" s="259">
        <f>+AC17+AC16+AC14+AC12</f>
        <v>165.82981038385884</v>
      </c>
      <c r="AD18" s="249">
        <f t="shared" ref="AD18:AL18" si="11">+AD17+AD16+AD14+AD12</f>
        <v>185.04189925904114</v>
      </c>
      <c r="AE18" s="249">
        <f t="shared" si="11"/>
        <v>162.20186393466565</v>
      </c>
      <c r="AF18" s="249">
        <f t="shared" si="11"/>
        <v>206.98579955802288</v>
      </c>
      <c r="AG18" s="259">
        <f t="shared" si="11"/>
        <v>218.54942128227123</v>
      </c>
      <c r="AH18" s="249">
        <f t="shared" si="11"/>
        <v>199.00376700301356</v>
      </c>
      <c r="AI18" s="249">
        <f t="shared" si="11"/>
        <v>197.38058643892825</v>
      </c>
      <c r="AJ18" s="249">
        <f t="shared" si="11"/>
        <v>233.8387067933472</v>
      </c>
      <c r="AK18" s="259">
        <f t="shared" si="11"/>
        <v>218.48255835146489</v>
      </c>
      <c r="AL18" s="249">
        <f t="shared" si="11"/>
        <v>267.03730325668704</v>
      </c>
      <c r="AN18" s="249">
        <f t="shared" ref="AN18:AS18" si="12">+AN17+AN16+AN14+AN12</f>
        <v>10.929121784229039</v>
      </c>
      <c r="AO18" s="249">
        <f t="shared" si="12"/>
        <v>-6.876948813549717</v>
      </c>
      <c r="AP18" s="249">
        <f t="shared" si="12"/>
        <v>4.0049699636255696</v>
      </c>
      <c r="AQ18" s="249">
        <f t="shared" si="12"/>
        <v>267.35562061743121</v>
      </c>
      <c r="AR18" s="249">
        <f t="shared" si="12"/>
        <v>482.02546673161487</v>
      </c>
      <c r="AS18" s="249">
        <f t="shared" si="12"/>
        <v>359.80936556565598</v>
      </c>
      <c r="AT18" s="249">
        <f>+AT17+AT16+AT14+AT12</f>
        <v>625.20856678983591</v>
      </c>
      <c r="AU18" s="249">
        <f>+AU17+AU16+AU14+AU12</f>
        <v>720.05937313558843</v>
      </c>
      <c r="AV18" s="249">
        <f>+AV17+AV16+AV14+AV12</f>
        <v>848.77248151756044</v>
      </c>
    </row>
    <row r="19" spans="2:48"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c r="AV19" s="212"/>
    </row>
    <row r="20" spans="2:48"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c r="AJ20" s="247"/>
      <c r="AK20" s="258"/>
      <c r="AL20" s="247"/>
      <c r="AN20" s="247"/>
      <c r="AO20" s="247"/>
      <c r="AP20" s="247">
        <f>SUM(I20:L20)</f>
        <v>16.4435</v>
      </c>
      <c r="AQ20" s="247"/>
      <c r="AR20" s="247"/>
      <c r="AS20" s="247"/>
      <c r="AT20" s="247"/>
      <c r="AU20" s="247"/>
      <c r="AV20" s="247"/>
    </row>
    <row r="21" spans="2:48"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-8.5159092328325823</v>
      </c>
      <c r="AG21" s="258"/>
      <c r="AH21" s="247"/>
      <c r="AI21" s="247"/>
      <c r="AJ21" s="247"/>
      <c r="AK21" s="258"/>
      <c r="AL21" s="247"/>
      <c r="AN21" s="247">
        <v>-11.25</v>
      </c>
      <c r="AO21" s="247"/>
      <c r="AP21" s="247">
        <f>SUM(I21:L21)</f>
        <v>-7.5</v>
      </c>
      <c r="AQ21" s="247">
        <f>SUM(M21:P21)</f>
        <v>-32.327500000000001</v>
      </c>
      <c r="AR21" s="247"/>
      <c r="AS21" s="247">
        <f>SUM(U21:X21)</f>
        <v>-4.0882750696999999</v>
      </c>
      <c r="AT21" s="247"/>
      <c r="AU21" s="247">
        <f t="shared" ref="AU21" si="13">SUM(AC21:AF21)</f>
        <v>-8.5159092328325823</v>
      </c>
      <c r="AV21" s="247"/>
    </row>
    <row r="22" spans="2:48"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K22" s="258"/>
      <c r="AL22" s="247"/>
      <c r="AN22" s="247"/>
      <c r="AO22" s="247"/>
      <c r="AP22" s="247"/>
      <c r="AQ22" s="247"/>
      <c r="AR22" s="247"/>
      <c r="AS22" s="247"/>
      <c r="AT22" s="247"/>
      <c r="AU22" s="247"/>
      <c r="AV22" s="247"/>
    </row>
    <row r="23" spans="2:48"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c r="AV23" s="212"/>
    </row>
    <row r="24" spans="2:48" x14ac:dyDescent="0.15">
      <c r="B24" s="2" t="s">
        <v>311</v>
      </c>
      <c r="C24" s="249"/>
      <c r="D24" s="249"/>
      <c r="E24" s="259"/>
      <c r="F24" s="249"/>
      <c r="G24" s="249"/>
      <c r="H24" s="249"/>
      <c r="I24" s="259">
        <f t="shared" ref="I24:X24" si="14">+I20+I18+I21</f>
        <v>20.9074727528306</v>
      </c>
      <c r="J24" s="249">
        <f t="shared" si="14"/>
        <v>-6.0167632829544146</v>
      </c>
      <c r="K24" s="249">
        <f t="shared" si="14"/>
        <v>4.0438587467146974</v>
      </c>
      <c r="L24" s="249">
        <f t="shared" si="14"/>
        <v>-5.9860982529653555</v>
      </c>
      <c r="M24" s="259">
        <f t="shared" si="14"/>
        <v>70.750709155176679</v>
      </c>
      <c r="N24" s="249">
        <f t="shared" si="14"/>
        <v>55.184875210977438</v>
      </c>
      <c r="O24" s="249">
        <f t="shared" si="14"/>
        <v>50.324061260351492</v>
      </c>
      <c r="P24" s="249">
        <f t="shared" si="14"/>
        <v>58.768474990925597</v>
      </c>
      <c r="Q24" s="259">
        <f t="shared" si="14"/>
        <v>180.64462168427997</v>
      </c>
      <c r="R24" s="249">
        <f t="shared" si="14"/>
        <v>89.905086219554249</v>
      </c>
      <c r="S24" s="249">
        <f t="shared" si="14"/>
        <v>98.353918374579365</v>
      </c>
      <c r="T24" s="249">
        <f t="shared" si="14"/>
        <v>113.1218404532014</v>
      </c>
      <c r="U24" s="259">
        <f t="shared" si="14"/>
        <v>111.04577049696958</v>
      </c>
      <c r="V24" s="249">
        <f t="shared" si="14"/>
        <v>59.081787149859622</v>
      </c>
      <c r="W24" s="249">
        <f t="shared" si="14"/>
        <v>74.393666909520917</v>
      </c>
      <c r="X24" s="249">
        <f t="shared" si="14"/>
        <v>111.19986593960591</v>
      </c>
      <c r="Y24" s="259">
        <f>+Y20+Y18+Y21</f>
        <v>156.60663409521538</v>
      </c>
      <c r="Z24" s="249">
        <f>+Z20+Z18+Z21</f>
        <v>146.76425217658726</v>
      </c>
      <c r="AA24" s="249">
        <f>+AA20+AA18+AA21</f>
        <v>154.76910417970032</v>
      </c>
      <c r="AB24" s="249">
        <f>+AB20+AB18+AB21</f>
        <v>167.068576338333</v>
      </c>
      <c r="AC24" s="259">
        <f>+AC20+AC18+AC21</f>
        <v>165.82981038385884</v>
      </c>
      <c r="AD24" s="249">
        <f t="shared" ref="AD24:AE24" si="15">+AD20+AD18+AD21</f>
        <v>185.04189925904114</v>
      </c>
      <c r="AE24" s="249">
        <f t="shared" si="15"/>
        <v>162.20186393466565</v>
      </c>
      <c r="AF24" s="249">
        <f>+AF20+AF18+AF21+AF22</f>
        <v>198.46989032519031</v>
      </c>
      <c r="AG24" s="259">
        <f>+AG20+AG18+AG21+AG22</f>
        <v>218.54942128227123</v>
      </c>
      <c r="AH24" s="249">
        <f>+AH20+AH18+AH21+AH22</f>
        <v>199.00376700301356</v>
      </c>
      <c r="AI24" s="249">
        <f>+AI20+AI18+AI21+AI22</f>
        <v>197.38058643892825</v>
      </c>
      <c r="AJ24" s="249">
        <f>+AJ20+AJ18+AJ21+AJ22</f>
        <v>233.8387067933472</v>
      </c>
      <c r="AK24" s="259">
        <f t="shared" ref="AK24" si="16">+AK20+AK18+AK21+AK22</f>
        <v>218.48255835146489</v>
      </c>
      <c r="AL24" s="249">
        <f>+AL20+AL18+AL21+AL22</f>
        <v>267.03730325668704</v>
      </c>
      <c r="AN24" s="249">
        <f t="shared" ref="AN24:AS24" si="17">+AN20+AN18+AN21</f>
        <v>-0.32087821577096065</v>
      </c>
      <c r="AO24" s="249">
        <f t="shared" si="17"/>
        <v>-6.876948813549717</v>
      </c>
      <c r="AP24" s="249">
        <f t="shared" si="17"/>
        <v>12.94846996362557</v>
      </c>
      <c r="AQ24" s="249">
        <f t="shared" si="17"/>
        <v>235.02812061743123</v>
      </c>
      <c r="AR24" s="249">
        <f t="shared" si="17"/>
        <v>482.02546673161487</v>
      </c>
      <c r="AS24" s="249">
        <f t="shared" si="17"/>
        <v>355.72109049595599</v>
      </c>
      <c r="AT24" s="249">
        <f>+AT20+AT18+AT21</f>
        <v>625.20856678983591</v>
      </c>
      <c r="AU24" s="249">
        <f>+AU20+AU18+AU21+AU22</f>
        <v>711.54346390275589</v>
      </c>
      <c r="AV24" s="249">
        <f>+AV20+AV18+AV21+AV22</f>
        <v>848.77248151756044</v>
      </c>
    </row>
    <row r="25" spans="2:48"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c r="AV25" s="212"/>
    </row>
    <row r="26" spans="2:48"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c r="AV26" s="212"/>
    </row>
    <row r="27" spans="2:48" ht="12" x14ac:dyDescent="0.15">
      <c r="B27" s="11" t="s">
        <v>356</v>
      </c>
      <c r="C27" s="247">
        <v>147500</v>
      </c>
      <c r="D27" s="247">
        <f>AN27</f>
        <v>183800</v>
      </c>
      <c r="E27" s="258">
        <v>197700</v>
      </c>
      <c r="F27" s="247">
        <v>205500</v>
      </c>
      <c r="G27" s="247">
        <v>216000</v>
      </c>
      <c r="H27" s="247">
        <v>228200</v>
      </c>
      <c r="I27" s="258">
        <v>243200</v>
      </c>
      <c r="J27" s="247">
        <v>253800</v>
      </c>
      <c r="K27" s="247">
        <v>266300</v>
      </c>
      <c r="L27" s="247">
        <v>279700</v>
      </c>
      <c r="M27" s="258">
        <v>316000</v>
      </c>
      <c r="N27" s="247">
        <v>334500</v>
      </c>
      <c r="O27" s="247">
        <v>351900</v>
      </c>
      <c r="P27" s="247">
        <v>378000</v>
      </c>
      <c r="Q27" s="258">
        <v>421400</v>
      </c>
      <c r="R27" s="247">
        <v>441600</v>
      </c>
      <c r="S27" s="247">
        <v>463200</v>
      </c>
      <c r="T27" s="247">
        <v>482500</v>
      </c>
      <c r="U27" s="258">
        <v>496700</v>
      </c>
      <c r="V27" s="247">
        <v>504100</v>
      </c>
      <c r="W27" s="247">
        <v>514100</v>
      </c>
      <c r="X27" s="247">
        <v>522300</v>
      </c>
      <c r="Y27" s="258">
        <v>533700</v>
      </c>
      <c r="Z27" s="247">
        <v>543600</v>
      </c>
      <c r="AA27" s="247">
        <v>555000</v>
      </c>
      <c r="AB27" s="247">
        <v>565600</v>
      </c>
      <c r="AC27" s="258">
        <v>579100</v>
      </c>
      <c r="AD27" s="247">
        <v>592700</v>
      </c>
      <c r="AE27" s="247">
        <v>613700</v>
      </c>
      <c r="AF27" s="247">
        <v>630700</v>
      </c>
      <c r="AG27" s="258">
        <v>649300</v>
      </c>
      <c r="AH27" s="247">
        <v>665600</v>
      </c>
      <c r="AI27" s="247">
        <v>679200</v>
      </c>
      <c r="AJ27" s="247">
        <v>694700</v>
      </c>
      <c r="AK27" s="258">
        <v>716200</v>
      </c>
      <c r="AL27" s="247">
        <v>732500</v>
      </c>
      <c r="AM27" s="212"/>
      <c r="AN27" s="247">
        <v>183800</v>
      </c>
      <c r="AO27" s="247">
        <f>+H27</f>
        <v>228200</v>
      </c>
      <c r="AP27" s="247">
        <f>+L27</f>
        <v>279700</v>
      </c>
      <c r="AQ27" s="247">
        <f>+P27</f>
        <v>378000</v>
      </c>
      <c r="AR27" s="247">
        <f>+T27</f>
        <v>482500</v>
      </c>
      <c r="AS27" s="247">
        <f>+X27</f>
        <v>522300</v>
      </c>
      <c r="AT27" s="247">
        <f>+AB27</f>
        <v>565600</v>
      </c>
      <c r="AU27" s="247">
        <f>+AF27</f>
        <v>630700</v>
      </c>
      <c r="AV27" s="247">
        <f>+AJ27</f>
        <v>694700</v>
      </c>
    </row>
    <row r="28" spans="2:48" ht="12" x14ac:dyDescent="0.15">
      <c r="B28" s="11" t="s">
        <v>357</v>
      </c>
      <c r="C28" s="247"/>
      <c r="D28" s="247"/>
      <c r="E28" s="258"/>
      <c r="F28" s="247"/>
      <c r="G28" s="247"/>
      <c r="H28" s="247"/>
      <c r="I28" s="258">
        <f t="shared" ref="I28:AL28" si="18">+I27-H27</f>
        <v>15000</v>
      </c>
      <c r="J28" s="247">
        <f t="shared" si="18"/>
        <v>10600</v>
      </c>
      <c r="K28" s="247">
        <f t="shared" si="18"/>
        <v>12500</v>
      </c>
      <c r="L28" s="247">
        <f t="shared" si="18"/>
        <v>13400</v>
      </c>
      <c r="M28" s="258">
        <f t="shared" si="18"/>
        <v>36300</v>
      </c>
      <c r="N28" s="247">
        <f t="shared" si="18"/>
        <v>18500</v>
      </c>
      <c r="O28" s="247">
        <f t="shared" si="18"/>
        <v>17400</v>
      </c>
      <c r="P28" s="247">
        <f t="shared" si="18"/>
        <v>26100</v>
      </c>
      <c r="Q28" s="258">
        <f t="shared" si="18"/>
        <v>43400</v>
      </c>
      <c r="R28" s="247">
        <f t="shared" si="18"/>
        <v>20200</v>
      </c>
      <c r="S28" s="247">
        <f t="shared" si="18"/>
        <v>21600</v>
      </c>
      <c r="T28" s="247">
        <f t="shared" si="18"/>
        <v>19300</v>
      </c>
      <c r="U28" s="258">
        <f t="shared" si="18"/>
        <v>14200</v>
      </c>
      <c r="V28" s="247">
        <f t="shared" si="18"/>
        <v>7400</v>
      </c>
      <c r="W28" s="247">
        <f t="shared" si="18"/>
        <v>10000</v>
      </c>
      <c r="X28" s="247">
        <f t="shared" si="18"/>
        <v>8200</v>
      </c>
      <c r="Y28" s="258">
        <f t="shared" si="18"/>
        <v>11400</v>
      </c>
      <c r="Z28" s="247">
        <f t="shared" si="18"/>
        <v>9900</v>
      </c>
      <c r="AA28" s="247">
        <f t="shared" si="18"/>
        <v>11400</v>
      </c>
      <c r="AB28" s="247">
        <f t="shared" si="18"/>
        <v>10600</v>
      </c>
      <c r="AC28" s="258">
        <f t="shared" si="18"/>
        <v>13500</v>
      </c>
      <c r="AD28" s="247">
        <f t="shared" si="18"/>
        <v>13600</v>
      </c>
      <c r="AE28" s="247">
        <f t="shared" si="18"/>
        <v>21000</v>
      </c>
      <c r="AF28" s="247">
        <f t="shared" si="18"/>
        <v>17000</v>
      </c>
      <c r="AG28" s="258">
        <f t="shared" si="18"/>
        <v>18600</v>
      </c>
      <c r="AH28" s="247">
        <f t="shared" si="18"/>
        <v>16300</v>
      </c>
      <c r="AI28" s="247">
        <f t="shared" si="18"/>
        <v>13600</v>
      </c>
      <c r="AJ28" s="247">
        <f t="shared" si="18"/>
        <v>15500</v>
      </c>
      <c r="AK28" s="258">
        <f t="shared" si="18"/>
        <v>21500</v>
      </c>
      <c r="AL28" s="247">
        <f t="shared" si="18"/>
        <v>16300</v>
      </c>
      <c r="AM28" s="212"/>
      <c r="AN28" s="247">
        <f>+AN27-C27</f>
        <v>36300</v>
      </c>
      <c r="AO28" s="247">
        <f>+AO27-AN27</f>
        <v>44400</v>
      </c>
      <c r="AP28" s="247">
        <f>+AP27-AO27</f>
        <v>51500</v>
      </c>
      <c r="AQ28" s="247">
        <f>SUM(M28:P28)</f>
        <v>98300</v>
      </c>
      <c r="AR28" s="247">
        <f>SUM(Q28:T28)</f>
        <v>104500</v>
      </c>
      <c r="AS28" s="247">
        <f>SUM(U28:X28)</f>
        <v>39800</v>
      </c>
      <c r="AT28" s="247">
        <f>SUM(Y28:AB28)</f>
        <v>43300</v>
      </c>
      <c r="AU28" s="247">
        <f>SUM(AC28:AF28)</f>
        <v>65100</v>
      </c>
      <c r="AV28" s="247">
        <f>SUM(AG28:AJ28)</f>
        <v>64000</v>
      </c>
    </row>
    <row r="29" spans="2:48" ht="12" x14ac:dyDescent="0.15">
      <c r="B29" s="11" t="s">
        <v>365</v>
      </c>
      <c r="C29" s="250"/>
      <c r="D29" s="250"/>
      <c r="E29" s="262"/>
      <c r="F29" s="250"/>
      <c r="G29" s="250"/>
      <c r="H29" s="250"/>
      <c r="I29" s="262">
        <f>+I27/E27-1</f>
        <v>0.23014668689934248</v>
      </c>
      <c r="J29" s="250">
        <f t="shared" ref="J29:T29" si="19">+J27/F27-1</f>
        <v>0.23503649635036505</v>
      </c>
      <c r="K29" s="250">
        <f t="shared" si="19"/>
        <v>0.23287037037037028</v>
      </c>
      <c r="L29" s="250">
        <f t="shared" si="19"/>
        <v>0.22567922874671331</v>
      </c>
      <c r="M29" s="262">
        <f t="shared" si="19"/>
        <v>0.29934210526315796</v>
      </c>
      <c r="N29" s="250">
        <f t="shared" si="19"/>
        <v>0.31796690307328612</v>
      </c>
      <c r="O29" s="250">
        <f t="shared" si="19"/>
        <v>0.32144198272624869</v>
      </c>
      <c r="P29" s="250">
        <f t="shared" si="19"/>
        <v>0.35144797997854837</v>
      </c>
      <c r="Q29" s="262">
        <f t="shared" si="19"/>
        <v>0.33354430379746836</v>
      </c>
      <c r="R29" s="250">
        <f t="shared" si="19"/>
        <v>0.32017937219730941</v>
      </c>
      <c r="S29" s="250">
        <f t="shared" si="19"/>
        <v>0.31628303495311161</v>
      </c>
      <c r="T29" s="250">
        <f t="shared" si="19"/>
        <v>0.27645502645502651</v>
      </c>
      <c r="U29" s="262">
        <v>0.19</v>
      </c>
      <c r="V29" s="250">
        <v>0.16</v>
      </c>
      <c r="W29" s="250">
        <v>0.12</v>
      </c>
      <c r="X29" s="250">
        <v>0.1</v>
      </c>
      <c r="Y29" s="262">
        <f>+Y27/U27-1</f>
        <v>7.4491644856049977E-2</v>
      </c>
      <c r="Z29" s="250">
        <f>+Z27/V27-1</f>
        <v>7.83574687561992E-2</v>
      </c>
      <c r="AA29" s="250">
        <f>+AA27/W27-1</f>
        <v>7.955650651624202E-2</v>
      </c>
      <c r="AB29" s="250">
        <f>+AB27/X27-1</f>
        <v>8.2902546429255208E-2</v>
      </c>
      <c r="AC29" s="262">
        <f>+AC27/Y27-1</f>
        <v>8.5066516769720879E-2</v>
      </c>
      <c r="AD29" s="250">
        <f t="shared" ref="AD29:AL29" si="20">+AD27/Z27-1</f>
        <v>9.0323767476085282E-2</v>
      </c>
      <c r="AE29" s="250">
        <f t="shared" si="20"/>
        <v>0.1057657657657658</v>
      </c>
      <c r="AF29" s="250">
        <f t="shared" si="20"/>
        <v>0.11509900990099009</v>
      </c>
      <c r="AG29" s="262">
        <f t="shared" si="20"/>
        <v>0.12122258677257824</v>
      </c>
      <c r="AH29" s="296">
        <f t="shared" si="20"/>
        <v>0.12299645689218819</v>
      </c>
      <c r="AI29" s="296">
        <f t="shared" si="20"/>
        <v>0.1067296724784097</v>
      </c>
      <c r="AJ29" s="296">
        <f t="shared" si="20"/>
        <v>0.1014745520849849</v>
      </c>
      <c r="AK29" s="262">
        <f t="shared" si="20"/>
        <v>0.103034036654859</v>
      </c>
      <c r="AL29" s="296">
        <f t="shared" si="20"/>
        <v>0.10051081730769229</v>
      </c>
      <c r="AM29" s="212"/>
      <c r="AN29" s="250">
        <f>+AN27/C27-1</f>
        <v>0.24610169491525413</v>
      </c>
      <c r="AO29" s="250">
        <f>+AO27/AN27-1</f>
        <v>0.2415669205658324</v>
      </c>
      <c r="AP29" s="250">
        <f>+AP27/AO27-1</f>
        <v>0.22567922874671331</v>
      </c>
      <c r="AQ29" s="250">
        <f>+AQ27/AP27-1</f>
        <v>0.35144797997854837</v>
      </c>
      <c r="AR29" s="250">
        <f>+AR27/AQ27-1</f>
        <v>0.27645502645502651</v>
      </c>
      <c r="AS29" s="250">
        <v>9.5399999999999999E-2</v>
      </c>
      <c r="AT29" s="250">
        <f>+AT27/AS27-1</f>
        <v>8.2902546429255208E-2</v>
      </c>
      <c r="AU29" s="250">
        <f>+AU27/AT27-1</f>
        <v>0.11509900990099009</v>
      </c>
      <c r="AV29" s="250">
        <f>+AV27/AU27-1</f>
        <v>0.1014745520849849</v>
      </c>
    </row>
    <row r="30" spans="2:48" x14ac:dyDescent="0.15">
      <c r="B30" s="11" t="s">
        <v>24</v>
      </c>
      <c r="C30" s="248"/>
      <c r="D30" s="248"/>
      <c r="E30" s="263">
        <v>1.1957929794450295</v>
      </c>
      <c r="F30" s="248">
        <v>9.4438780378372902E-2</v>
      </c>
      <c r="G30" s="248">
        <v>0.79465141588999988</v>
      </c>
      <c r="H30" s="248">
        <v>1.1711463696999997</v>
      </c>
      <c r="I30" s="263">
        <v>1.8865662741</v>
      </c>
      <c r="J30" s="248">
        <v>0.16618982564000009</v>
      </c>
      <c r="K30" s="248">
        <v>0.78529399940000011</v>
      </c>
      <c r="L30" s="248">
        <v>1.4923262051419102</v>
      </c>
      <c r="M30" s="263">
        <v>8.1695349890000006</v>
      </c>
      <c r="N30" s="248">
        <v>3.283348723</v>
      </c>
      <c r="O30" s="248">
        <v>1.6191832070000001</v>
      </c>
      <c r="P30" s="248">
        <v>4.0999999999999996</v>
      </c>
      <c r="Q30" s="263">
        <v>4.7</v>
      </c>
      <c r="R30" s="248">
        <v>2.9</v>
      </c>
      <c r="S30" s="248">
        <v>3.2</v>
      </c>
      <c r="T30" s="248">
        <v>2.8</v>
      </c>
      <c r="U30" s="263">
        <v>5.0999999999999996</v>
      </c>
      <c r="V30" s="248">
        <v>1.8</v>
      </c>
      <c r="W30" s="248">
        <v>1.9</v>
      </c>
      <c r="X30" s="248">
        <v>1.5</v>
      </c>
      <c r="Y30" s="263">
        <v>2.5</v>
      </c>
      <c r="Z30" s="248">
        <v>1.3</v>
      </c>
      <c r="AA30" s="248">
        <v>2.2999999999999998</v>
      </c>
      <c r="AB30" s="248">
        <v>2.8</v>
      </c>
      <c r="AC30" s="263">
        <v>4.5</v>
      </c>
      <c r="AD30" s="248">
        <v>6</v>
      </c>
      <c r="AE30" s="248">
        <v>3.4</v>
      </c>
      <c r="AF30" s="248">
        <v>3.6</v>
      </c>
      <c r="AG30" s="263">
        <v>5.3</v>
      </c>
      <c r="AH30" s="248">
        <v>3.8</v>
      </c>
      <c r="AI30" s="248">
        <v>3.4</v>
      </c>
      <c r="AJ30" s="248">
        <v>3.3</v>
      </c>
      <c r="AK30" s="263">
        <v>6.5</v>
      </c>
      <c r="AL30" s="248">
        <v>4.8</v>
      </c>
      <c r="AM30" s="212"/>
      <c r="AN30" s="248">
        <v>2.0150000000000001</v>
      </c>
      <c r="AO30" s="248">
        <v>3.2560295454134018</v>
      </c>
      <c r="AP30" s="248">
        <f>SUM(I30:L30)</f>
        <v>4.3303763042819101</v>
      </c>
      <c r="AQ30" s="248">
        <f>SUM(M30:P30)</f>
        <v>17.172066919000002</v>
      </c>
      <c r="AR30" s="248">
        <f>SUM(Q30:T30)</f>
        <v>13.600000000000001</v>
      </c>
      <c r="AS30" s="248">
        <f>SUM(U30:X30)</f>
        <v>10.299999999999999</v>
      </c>
      <c r="AT30" s="248">
        <f>SUM(Y30:AB30)</f>
        <v>8.8999999999999986</v>
      </c>
      <c r="AU30" s="248">
        <f>SUM(AC30:AF30)</f>
        <v>17.5</v>
      </c>
      <c r="AV30" s="248">
        <f>SUM(AG30:AJ30)</f>
        <v>15.8</v>
      </c>
    </row>
    <row r="31" spans="2:48" x14ac:dyDescent="0.15">
      <c r="B31" s="11" t="s">
        <v>177</v>
      </c>
      <c r="C31" s="250"/>
      <c r="D31" s="250"/>
      <c r="E31" s="262"/>
      <c r="F31" s="250"/>
      <c r="G31" s="250"/>
      <c r="H31" s="250"/>
      <c r="I31" s="262">
        <f t="shared" ref="I31:O31" si="21">+SUM(F30:I30)*1000/E40</f>
        <v>6.2977546514574309E-2</v>
      </c>
      <c r="J31" s="250">
        <f t="shared" si="21"/>
        <v>5.9987369537692188E-2</v>
      </c>
      <c r="K31" s="250">
        <f t="shared" si="21"/>
        <v>5.8180183846176167E-2</v>
      </c>
      <c r="L31" s="250">
        <f t="shared" si="21"/>
        <v>6.9946314073363103E-2</v>
      </c>
      <c r="M31" s="262">
        <f t="shared" si="21"/>
        <v>0.15170590364754016</v>
      </c>
      <c r="N31" s="250">
        <f t="shared" si="21"/>
        <v>0.18889123561070173</v>
      </c>
      <c r="O31" s="250">
        <f t="shared" si="21"/>
        <v>0.19206637378533445</v>
      </c>
      <c r="P31" s="250">
        <f t="shared" ref="P31:AL31" si="22">+SUM(M30:P30)*1000/L40</f>
        <v>0.21521577790449933</v>
      </c>
      <c r="Q31" s="262">
        <f t="shared" si="22"/>
        <v>0.18098708136309602</v>
      </c>
      <c r="R31" s="250">
        <f t="shared" si="22"/>
        <v>0.14970420599078341</v>
      </c>
      <c r="S31" s="250">
        <f t="shared" si="22"/>
        <v>0.15205633227880397</v>
      </c>
      <c r="T31" s="250">
        <f t="shared" si="22"/>
        <v>0.12385028685912032</v>
      </c>
      <c r="U31" s="262">
        <f t="shared" si="22"/>
        <v>0.11090865879743324</v>
      </c>
      <c r="V31" s="250">
        <f t="shared" si="22"/>
        <v>9.3073593073593072E-2</v>
      </c>
      <c r="W31" s="250">
        <f t="shared" si="22"/>
        <v>8.1022560592302853E-2</v>
      </c>
      <c r="X31" s="250">
        <f>+SUM(U30:X30)*1000/T40</f>
        <v>6.6813700051894118E-2</v>
      </c>
      <c r="Y31" s="262">
        <f t="shared" si="22"/>
        <v>5.2348902032769054E-2</v>
      </c>
      <c r="Z31" s="250">
        <f t="shared" si="22"/>
        <v>5.2030640265934382E-2</v>
      </c>
      <c r="AA31" s="250">
        <f t="shared" si="22"/>
        <v>5.5539315989476763E-2</v>
      </c>
      <c r="AB31" s="250">
        <f>+SUM(Y30:AB30)*1000/X40</f>
        <v>5.968347639484977E-2</v>
      </c>
      <c r="AC31" s="262">
        <f t="shared" si="22"/>
        <v>6.8921909579513108E-2</v>
      </c>
      <c r="AD31" s="250">
        <f t="shared" si="22"/>
        <v>9.4556915989816942E-2</v>
      </c>
      <c r="AE31" s="250">
        <f t="shared" si="22"/>
        <v>0.10487314745038935</v>
      </c>
      <c r="AF31" s="250">
        <f t="shared" si="22"/>
        <v>0.10552339604438013</v>
      </c>
      <c r="AG31" s="262">
        <f t="shared" si="22"/>
        <v>0.1019385026737968</v>
      </c>
      <c r="AH31" s="296">
        <f t="shared" si="22"/>
        <v>8.4416946308724844E-2</v>
      </c>
      <c r="AI31" s="296">
        <f t="shared" si="22"/>
        <v>8.0969623818145237E-2</v>
      </c>
      <c r="AJ31" s="296">
        <f t="shared" si="22"/>
        <v>7.8097968464238054E-2</v>
      </c>
      <c r="AK31" s="262">
        <f t="shared" si="22"/>
        <v>8.5767620200797132E-2</v>
      </c>
      <c r="AL31" s="296">
        <f t="shared" si="22"/>
        <v>8.269398630955116E-2</v>
      </c>
      <c r="AM31" s="212"/>
      <c r="AN31" s="250">
        <f>+AN30*1000/C40</f>
        <v>4.0372670807453423E-2</v>
      </c>
      <c r="AO31" s="250">
        <f t="shared" ref="AO31:AV31" si="23">+AO30*1000/AN40</f>
        <v>5.5186941447684781E-2</v>
      </c>
      <c r="AP31" s="250">
        <f t="shared" si="23"/>
        <v>6.9946314073363103E-2</v>
      </c>
      <c r="AQ31" s="250">
        <f t="shared" si="23"/>
        <v>0.21521577790449933</v>
      </c>
      <c r="AR31" s="250">
        <f t="shared" si="23"/>
        <v>0.12385028685912032</v>
      </c>
      <c r="AS31" s="250">
        <f t="shared" si="23"/>
        <v>6.6813700051894118E-2</v>
      </c>
      <c r="AT31" s="250">
        <f t="shared" si="23"/>
        <v>5.968347639484977E-2</v>
      </c>
      <c r="AU31" s="250">
        <f t="shared" si="23"/>
        <v>0.10552339604438013</v>
      </c>
      <c r="AV31" s="250">
        <f t="shared" si="23"/>
        <v>7.8097968464238054E-2</v>
      </c>
    </row>
    <row r="32" spans="2:48" x14ac:dyDescent="0.15">
      <c r="B32" s="11" t="s">
        <v>313</v>
      </c>
      <c r="C32" s="247"/>
      <c r="D32" s="247"/>
      <c r="E32" s="258"/>
      <c r="F32" s="247"/>
      <c r="G32" s="247"/>
      <c r="H32" s="247">
        <f t="shared" ref="H32:AL32" si="24">+ROUND(AVERAGE(D40:H40)*1000000/AVERAGE(D27:H27),-2)</f>
        <v>309800</v>
      </c>
      <c r="I32" s="258">
        <f t="shared" si="24"/>
        <v>303000</v>
      </c>
      <c r="J32" s="247">
        <f t="shared" si="24"/>
        <v>296900</v>
      </c>
      <c r="K32" s="247">
        <f t="shared" si="24"/>
        <v>289300</v>
      </c>
      <c r="L32" s="247">
        <f t="shared" si="24"/>
        <v>283300</v>
      </c>
      <c r="M32" s="258">
        <f t="shared" si="24"/>
        <v>275200</v>
      </c>
      <c r="N32" s="247">
        <f t="shared" si="24"/>
        <v>271000</v>
      </c>
      <c r="O32" s="247">
        <f t="shared" si="24"/>
        <v>270100</v>
      </c>
      <c r="P32" s="247">
        <f t="shared" si="24"/>
        <v>272400</v>
      </c>
      <c r="Q32" s="258">
        <f t="shared" si="24"/>
        <v>276800</v>
      </c>
      <c r="R32" s="247">
        <f t="shared" si="24"/>
        <v>291400</v>
      </c>
      <c r="S32" s="247">
        <f t="shared" si="24"/>
        <v>299500</v>
      </c>
      <c r="T32" s="247">
        <f t="shared" si="24"/>
        <v>307300</v>
      </c>
      <c r="U32" s="258">
        <f t="shared" si="24"/>
        <v>307600</v>
      </c>
      <c r="V32" s="247">
        <f t="shared" si="24"/>
        <v>302100</v>
      </c>
      <c r="W32" s="247">
        <f t="shared" si="24"/>
        <v>292500</v>
      </c>
      <c r="X32" s="247">
        <f t="shared" si="24"/>
        <v>288000</v>
      </c>
      <c r="Y32" s="258">
        <f t="shared" si="24"/>
        <v>283800</v>
      </c>
      <c r="Z32" s="247">
        <f t="shared" si="24"/>
        <v>285500</v>
      </c>
      <c r="AA32" s="247">
        <f t="shared" si="24"/>
        <v>287900</v>
      </c>
      <c r="AB32" s="247">
        <f>+ROUND(AVERAGE(X40:AB40)*1000000/AVERAGE(X27:AB27),-2)</f>
        <v>293100</v>
      </c>
      <c r="AC32" s="258">
        <f t="shared" si="24"/>
        <v>298100</v>
      </c>
      <c r="AD32" s="247">
        <f t="shared" si="24"/>
        <v>303300</v>
      </c>
      <c r="AE32" s="247">
        <f t="shared" si="24"/>
        <v>307700</v>
      </c>
      <c r="AF32" s="247">
        <f t="shared" si="24"/>
        <v>314300</v>
      </c>
      <c r="AG32" s="258">
        <f t="shared" si="24"/>
        <v>316300</v>
      </c>
      <c r="AH32" s="247">
        <f t="shared" si="24"/>
        <v>319700</v>
      </c>
      <c r="AI32" s="247">
        <f t="shared" si="24"/>
        <v>324100</v>
      </c>
      <c r="AJ32" s="247">
        <f t="shared" si="24"/>
        <v>330800</v>
      </c>
      <c r="AK32" s="258">
        <f t="shared" si="24"/>
        <v>337800</v>
      </c>
      <c r="AL32" s="247">
        <f t="shared" si="24"/>
        <v>356100</v>
      </c>
      <c r="AN32" s="247">
        <f>+ROUND(AVERAGE(AN40,C40)*1000000/AVERAGE(AN27,C27),-2)</f>
        <v>328700</v>
      </c>
      <c r="AO32" s="247">
        <f>+H32</f>
        <v>309800</v>
      </c>
      <c r="AP32" s="247">
        <f>+L32</f>
        <v>283300</v>
      </c>
      <c r="AQ32" s="247">
        <f>+P32</f>
        <v>272400</v>
      </c>
      <c r="AR32" s="247">
        <f>+T32</f>
        <v>307300</v>
      </c>
      <c r="AS32" s="247">
        <f>+X32</f>
        <v>288000</v>
      </c>
      <c r="AT32" s="247">
        <f>+AB32</f>
        <v>293100</v>
      </c>
      <c r="AU32" s="247">
        <f>+AF32</f>
        <v>314300</v>
      </c>
      <c r="AV32" s="247">
        <f>+AJ32</f>
        <v>330800</v>
      </c>
    </row>
    <row r="33" spans="2:48" x14ac:dyDescent="0.15">
      <c r="B33" s="7" t="s">
        <v>25</v>
      </c>
      <c r="C33" s="247"/>
      <c r="D33" s="247"/>
      <c r="E33" s="258"/>
      <c r="F33" s="247"/>
      <c r="G33" s="247"/>
      <c r="H33" s="247"/>
      <c r="I33" s="258">
        <f t="shared" ref="I33:AL33" si="25">+I12*1000000/AVERAGE(H27:I27)*4</f>
        <v>908.25034884874367</v>
      </c>
      <c r="J33" s="247">
        <f t="shared" si="25"/>
        <v>706.74734718068146</v>
      </c>
      <c r="K33" s="247">
        <f t="shared" si="25"/>
        <v>798.69782168094241</v>
      </c>
      <c r="L33" s="247">
        <f t="shared" si="25"/>
        <v>858.36994422411055</v>
      </c>
      <c r="M33" s="258">
        <f t="shared" si="25"/>
        <v>1618.1067215454832</v>
      </c>
      <c r="N33" s="247">
        <f t="shared" si="25"/>
        <v>1364.8232408569204</v>
      </c>
      <c r="O33" s="247">
        <f t="shared" si="25"/>
        <v>1238.6279538897982</v>
      </c>
      <c r="P33" s="247">
        <f t="shared" si="25"/>
        <v>1530.7017940509033</v>
      </c>
      <c r="Q33" s="258">
        <f t="shared" si="25"/>
        <v>2377.135184910821</v>
      </c>
      <c r="R33" s="247">
        <f t="shared" si="25"/>
        <v>1363.2754877793213</v>
      </c>
      <c r="S33" s="247">
        <f t="shared" si="25"/>
        <v>1359.5905953729552</v>
      </c>
      <c r="T33" s="247">
        <f t="shared" si="25"/>
        <v>1459.0232232557773</v>
      </c>
      <c r="U33" s="258">
        <f t="shared" si="25"/>
        <v>1405.7124815874092</v>
      </c>
      <c r="V33" s="247">
        <f t="shared" si="25"/>
        <v>934.35509027638261</v>
      </c>
      <c r="W33" s="247">
        <f t="shared" si="25"/>
        <v>1012.673691239386</v>
      </c>
      <c r="X33" s="247">
        <f t="shared" si="25"/>
        <v>1313.2252471303841</v>
      </c>
      <c r="Y33" s="258">
        <f t="shared" si="25"/>
        <v>1625.9340213295839</v>
      </c>
      <c r="Z33" s="247">
        <f t="shared" si="25"/>
        <v>1587.3534866811874</v>
      </c>
      <c r="AA33" s="247">
        <f t="shared" si="25"/>
        <v>1621.2701644145536</v>
      </c>
      <c r="AB33" s="247">
        <f>+AB12*1000000/AVERAGE(AA27:AB27)*4</f>
        <v>1699.4766589905241</v>
      </c>
      <c r="AC33" s="258">
        <f t="shared" si="25"/>
        <v>1677.4971934827254</v>
      </c>
      <c r="AD33" s="247">
        <f t="shared" si="25"/>
        <v>1758.7572309182265</v>
      </c>
      <c r="AE33" s="247">
        <f t="shared" si="25"/>
        <v>1575.4218962764155</v>
      </c>
      <c r="AF33" s="247">
        <f t="shared" si="25"/>
        <v>1849.0565005372418</v>
      </c>
      <c r="AG33" s="258">
        <f t="shared" si="25"/>
        <v>1884.6278751974939</v>
      </c>
      <c r="AH33" s="247">
        <f t="shared" si="25"/>
        <v>1724.586778244598</v>
      </c>
      <c r="AI33" s="247">
        <f t="shared" si="25"/>
        <v>1658.4508246512394</v>
      </c>
      <c r="AJ33" s="247">
        <f t="shared" si="25"/>
        <v>1867.6655227386912</v>
      </c>
      <c r="AK33" s="258">
        <f t="shared" si="25"/>
        <v>1785.0710536520739</v>
      </c>
      <c r="AL33" s="247">
        <f t="shared" si="25"/>
        <v>1993.9087124305602</v>
      </c>
      <c r="AN33" s="247">
        <f>+AN12*1000000/AVERAGE(AN27,C27)</f>
        <v>1064.1594662874256</v>
      </c>
      <c r="AO33" s="247">
        <f t="shared" ref="AO33:AV33" si="26">+AO12*1000000/AVERAGE(AN27:AO27)</f>
        <v>981.72035382949321</v>
      </c>
      <c r="AP33" s="247">
        <f t="shared" si="26"/>
        <v>818.80063624666229</v>
      </c>
      <c r="AQ33" s="247">
        <f t="shared" si="26"/>
        <v>1451.7170287478268</v>
      </c>
      <c r="AR33" s="247">
        <f t="shared" si="26"/>
        <v>1652.1628255949165</v>
      </c>
      <c r="AS33" s="247">
        <f t="shared" si="26"/>
        <v>1170.3093239612031</v>
      </c>
      <c r="AT33" s="247">
        <f t="shared" si="26"/>
        <v>1634.4800037724729</v>
      </c>
      <c r="AU33" s="247">
        <f t="shared" si="26"/>
        <v>1710.0011797847665</v>
      </c>
      <c r="AV33" s="247">
        <f t="shared" si="26"/>
        <v>1787.4326930828977</v>
      </c>
    </row>
    <row r="34" spans="2:48" x14ac:dyDescent="0.15">
      <c r="B34" s="11" t="s">
        <v>307</v>
      </c>
      <c r="C34" s="252"/>
      <c r="D34" s="252"/>
      <c r="E34" s="268"/>
      <c r="F34" s="252"/>
      <c r="G34" s="252"/>
      <c r="H34" s="252">
        <f t="shared" ref="H34:AL34" si="27">SUM(E12:H12)/AVERAGE(D40:H40)</f>
        <v>3.0766345450243468E-3</v>
      </c>
      <c r="I34" s="268">
        <f t="shared" si="27"/>
        <v>2.9676441262182318E-3</v>
      </c>
      <c r="J34" s="252">
        <f t="shared" si="27"/>
        <v>2.8740615487580657E-3</v>
      </c>
      <c r="K34" s="252">
        <f t="shared" si="27"/>
        <v>2.9581054759109824E-3</v>
      </c>
      <c r="L34" s="252">
        <f t="shared" si="27"/>
        <v>2.8865348100233197E-3</v>
      </c>
      <c r="M34" s="268">
        <f t="shared" si="27"/>
        <v>3.6753842654955906E-3</v>
      </c>
      <c r="N34" s="252">
        <f t="shared" si="27"/>
        <v>4.3509319874626157E-3</v>
      </c>
      <c r="O34" s="252">
        <f t="shared" si="27"/>
        <v>4.7374248567058639E-3</v>
      </c>
      <c r="P34" s="252">
        <f t="shared" si="27"/>
        <v>5.2777892067097411E-3</v>
      </c>
      <c r="Q34" s="268">
        <f t="shared" si="27"/>
        <v>5.9598173939048359E-3</v>
      </c>
      <c r="R34" s="252">
        <f t="shared" si="27"/>
        <v>5.6136953345341167E-3</v>
      </c>
      <c r="S34" s="252">
        <f t="shared" si="27"/>
        <v>5.5052425939250459E-3</v>
      </c>
      <c r="T34" s="252">
        <f t="shared" si="27"/>
        <v>5.2892469582884122E-3</v>
      </c>
      <c r="U34" s="268">
        <f t="shared" si="27"/>
        <v>4.5496442023708001E-3</v>
      </c>
      <c r="V34" s="252">
        <f t="shared" si="27"/>
        <v>4.2638723915697195E-3</v>
      </c>
      <c r="W34" s="252">
        <f t="shared" si="27"/>
        <v>4.1014247149372659E-3</v>
      </c>
      <c r="X34" s="252">
        <f t="shared" si="27"/>
        <v>4.0516228473249935E-3</v>
      </c>
      <c r="Y34" s="268">
        <f t="shared" si="27"/>
        <v>4.3211675719408054E-3</v>
      </c>
      <c r="Z34" s="252">
        <f t="shared" si="27"/>
        <v>4.8657247416882586E-3</v>
      </c>
      <c r="AA34" s="252">
        <f t="shared" si="27"/>
        <v>5.3437294899957065E-3</v>
      </c>
      <c r="AB34" s="252">
        <f>SUM(Y12:AB12)/AVERAGE(X40:AB40)</f>
        <v>5.5753288980223787E-3</v>
      </c>
      <c r="AC34" s="268">
        <f t="shared" si="27"/>
        <v>5.5240294957835953E-3</v>
      </c>
      <c r="AD34" s="252">
        <f t="shared" si="27"/>
        <v>5.5697893956034696E-3</v>
      </c>
      <c r="AE34" s="252">
        <f t="shared" si="27"/>
        <v>5.4423741838026066E-3</v>
      </c>
      <c r="AF34" s="252">
        <f t="shared" si="27"/>
        <v>5.4567032942194451E-3</v>
      </c>
      <c r="AG34" s="268">
        <f t="shared" si="27"/>
        <v>5.591732601317026E-3</v>
      </c>
      <c r="AH34" s="299">
        <f t="shared" si="27"/>
        <v>5.5082719671936398E-3</v>
      </c>
      <c r="AI34" s="299">
        <f t="shared" si="27"/>
        <v>5.4841827894892507E-3</v>
      </c>
      <c r="AJ34" s="299">
        <f t="shared" si="27"/>
        <v>5.392961545528382E-3</v>
      </c>
      <c r="AK34" s="268">
        <f t="shared" si="27"/>
        <v>5.2073295802792362E-3</v>
      </c>
      <c r="AL34" s="299">
        <f t="shared" si="27"/>
        <v>5.1345625160917566E-3</v>
      </c>
      <c r="AN34" s="252">
        <f>+AN12/AVERAGE(AN40,C40)</f>
        <v>3.2371318628319169E-3</v>
      </c>
      <c r="AO34" s="252">
        <f>+H34</f>
        <v>3.0766345450243468E-3</v>
      </c>
      <c r="AP34" s="252">
        <f>+L34</f>
        <v>2.8865348100233197E-3</v>
      </c>
      <c r="AQ34" s="252">
        <f>+P34</f>
        <v>5.2777892067097411E-3</v>
      </c>
      <c r="AR34" s="252">
        <f>+T34</f>
        <v>5.2892469582884122E-3</v>
      </c>
      <c r="AS34" s="252">
        <f>+X34</f>
        <v>4.0516228473249935E-3</v>
      </c>
      <c r="AT34" s="252">
        <f>+AB34</f>
        <v>5.5753288980223787E-3</v>
      </c>
      <c r="AU34" s="252">
        <f>+AF34</f>
        <v>5.4567032942194451E-3</v>
      </c>
      <c r="AV34" s="252">
        <f>+AJ34</f>
        <v>5.392961545528382E-3</v>
      </c>
    </row>
    <row r="35" spans="2:48"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L35" s="215"/>
      <c r="AN35" s="215"/>
      <c r="AO35" s="215"/>
      <c r="AP35" s="215"/>
      <c r="AQ35" s="215"/>
      <c r="AR35" s="215"/>
      <c r="AS35" s="215"/>
      <c r="AT35" s="215"/>
      <c r="AU35" s="215"/>
      <c r="AV35" s="215"/>
    </row>
    <row r="36" spans="2:48"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L36" s="215"/>
      <c r="AN36" s="215"/>
      <c r="AO36" s="215"/>
      <c r="AP36" s="215"/>
      <c r="AQ36" s="215"/>
      <c r="AR36" s="215"/>
      <c r="AS36" s="215"/>
      <c r="AT36" s="215"/>
      <c r="AU36" s="215"/>
      <c r="AV36" s="215"/>
    </row>
    <row r="37" spans="2:48" x14ac:dyDescent="0.15">
      <c r="B37" s="6" t="s">
        <v>29</v>
      </c>
      <c r="C37" s="247"/>
      <c r="D37" s="247">
        <v>49290</v>
      </c>
      <c r="E37" s="258"/>
      <c r="F37" s="247"/>
      <c r="G37" s="247"/>
      <c r="H37" s="247">
        <v>50370</v>
      </c>
      <c r="I37" s="258">
        <v>57730</v>
      </c>
      <c r="J37" s="247">
        <v>59340</v>
      </c>
      <c r="K37" s="247">
        <v>61610</v>
      </c>
      <c r="L37" s="247">
        <v>64090</v>
      </c>
      <c r="M37" s="258">
        <v>57250</v>
      </c>
      <c r="N37" s="247">
        <v>69460</v>
      </c>
      <c r="O37" s="247">
        <v>77470</v>
      </c>
      <c r="P37" s="247">
        <v>88930</v>
      </c>
      <c r="Q37" s="258">
        <v>101980</v>
      </c>
      <c r="R37" s="247">
        <v>111740</v>
      </c>
      <c r="S37" s="247">
        <v>114720</v>
      </c>
      <c r="T37" s="247">
        <v>122960</v>
      </c>
      <c r="U37" s="258">
        <v>116670</v>
      </c>
      <c r="V37" s="247">
        <v>107200</v>
      </c>
      <c r="W37" s="247">
        <v>105000</v>
      </c>
      <c r="X37" s="247">
        <v>116020</v>
      </c>
      <c r="Y37" s="258">
        <v>125840</v>
      </c>
      <c r="Z37" s="247">
        <v>130960</v>
      </c>
      <c r="AA37" s="247">
        <v>126550</v>
      </c>
      <c r="AB37" s="247">
        <v>131620</v>
      </c>
      <c r="AC37" s="258">
        <v>142470</v>
      </c>
      <c r="AD37" s="247">
        <v>150390</v>
      </c>
      <c r="AE37" s="247">
        <v>155740</v>
      </c>
      <c r="AF37" s="247">
        <v>157320</v>
      </c>
      <c r="AG37" s="258">
        <v>152300</v>
      </c>
      <c r="AH37" s="247">
        <v>167150</v>
      </c>
      <c r="AI37" s="247">
        <v>179610</v>
      </c>
      <c r="AJ37" s="247">
        <v>189690</v>
      </c>
      <c r="AK37" s="258">
        <v>193370</v>
      </c>
      <c r="AL37" s="247">
        <v>220160</v>
      </c>
      <c r="AN37" s="247">
        <v>49290</v>
      </c>
      <c r="AO37" s="247">
        <v>50370</v>
      </c>
      <c r="AP37" s="247">
        <f>+L37</f>
        <v>64090</v>
      </c>
      <c r="AQ37" s="247">
        <f>+P37</f>
        <v>88930</v>
      </c>
      <c r="AR37" s="247">
        <f>+T37</f>
        <v>122960</v>
      </c>
      <c r="AS37" s="247">
        <f>+X37</f>
        <v>116020</v>
      </c>
      <c r="AT37" s="247">
        <f>+AB37</f>
        <v>131620</v>
      </c>
      <c r="AU37" s="247">
        <f>+AF37</f>
        <v>157320</v>
      </c>
      <c r="AV37" s="247">
        <f>+AJ37</f>
        <v>189690</v>
      </c>
    </row>
    <row r="38" spans="2:48" x14ac:dyDescent="0.15">
      <c r="B38" s="7" t="s">
        <v>30</v>
      </c>
      <c r="C38" s="247"/>
      <c r="D38" s="247">
        <v>3000</v>
      </c>
      <c r="E38" s="258"/>
      <c r="F38" s="247"/>
      <c r="G38" s="247"/>
      <c r="H38" s="247">
        <v>3540</v>
      </c>
      <c r="I38" s="258">
        <v>4500</v>
      </c>
      <c r="J38" s="247">
        <v>4940</v>
      </c>
      <c r="K38" s="247">
        <v>5480</v>
      </c>
      <c r="L38" s="247">
        <v>6140</v>
      </c>
      <c r="M38" s="258">
        <v>5020</v>
      </c>
      <c r="N38" s="247">
        <v>6390</v>
      </c>
      <c r="O38" s="247">
        <v>7310</v>
      </c>
      <c r="P38" s="247">
        <v>8430</v>
      </c>
      <c r="Q38" s="258">
        <v>10350</v>
      </c>
      <c r="R38" s="247">
        <v>12020</v>
      </c>
      <c r="S38" s="247">
        <v>12980</v>
      </c>
      <c r="T38" s="247">
        <v>14720</v>
      </c>
      <c r="U38" s="258">
        <v>14460</v>
      </c>
      <c r="V38" s="247">
        <v>13810</v>
      </c>
      <c r="W38" s="247">
        <v>13720</v>
      </c>
      <c r="X38" s="247">
        <v>15970</v>
      </c>
      <c r="Y38" s="258">
        <v>17130</v>
      </c>
      <c r="Z38" s="247">
        <v>18850</v>
      </c>
      <c r="AA38" s="247">
        <v>19400</v>
      </c>
      <c r="AB38" s="247">
        <v>21440</v>
      </c>
      <c r="AC38" s="258">
        <v>24910</v>
      </c>
      <c r="AD38" s="247">
        <v>27380</v>
      </c>
      <c r="AE38" s="247">
        <v>29550</v>
      </c>
      <c r="AF38" s="247">
        <v>31180</v>
      </c>
      <c r="AG38" s="258">
        <v>31650</v>
      </c>
      <c r="AH38" s="247">
        <v>34640</v>
      </c>
      <c r="AI38" s="247">
        <v>37640</v>
      </c>
      <c r="AJ38" s="247">
        <v>41050</v>
      </c>
      <c r="AK38" s="258">
        <v>43560</v>
      </c>
      <c r="AL38" s="247">
        <v>51520</v>
      </c>
      <c r="AN38" s="247">
        <v>3000</v>
      </c>
      <c r="AO38" s="247">
        <v>3540</v>
      </c>
      <c r="AP38" s="247">
        <f>+L38</f>
        <v>6140</v>
      </c>
      <c r="AQ38" s="247">
        <f>+P38</f>
        <v>8430</v>
      </c>
      <c r="AR38" s="247">
        <f>+T38</f>
        <v>14720</v>
      </c>
      <c r="AS38" s="247">
        <f>+X38</f>
        <v>15970</v>
      </c>
      <c r="AT38" s="247">
        <f>+AB38</f>
        <v>21440</v>
      </c>
      <c r="AU38" s="247">
        <f>+AF38</f>
        <v>31180</v>
      </c>
      <c r="AV38" s="247">
        <f>+AJ38</f>
        <v>41050</v>
      </c>
    </row>
    <row r="39" spans="2:48" x14ac:dyDescent="0.15">
      <c r="B39" s="11" t="s">
        <v>31</v>
      </c>
      <c r="C39" s="247"/>
      <c r="D39" s="247">
        <v>6710</v>
      </c>
      <c r="E39" s="258"/>
      <c r="F39" s="247"/>
      <c r="G39" s="247"/>
      <c r="H39" s="247">
        <v>8000</v>
      </c>
      <c r="I39" s="258">
        <v>7730</v>
      </c>
      <c r="J39" s="247">
        <v>8410</v>
      </c>
      <c r="K39" s="247">
        <v>8740</v>
      </c>
      <c r="L39" s="247">
        <v>9560</v>
      </c>
      <c r="M39" s="258">
        <v>13440</v>
      </c>
      <c r="N39" s="247">
        <v>13120</v>
      </c>
      <c r="O39" s="247">
        <v>13210</v>
      </c>
      <c r="P39" s="247">
        <v>12450</v>
      </c>
      <c r="Q39" s="258">
        <v>13900</v>
      </c>
      <c r="R39" s="247">
        <v>14840</v>
      </c>
      <c r="S39" s="247">
        <v>15470</v>
      </c>
      <c r="T39" s="247">
        <v>16480</v>
      </c>
      <c r="U39" s="258">
        <v>15960</v>
      </c>
      <c r="V39" s="247">
        <v>17370</v>
      </c>
      <c r="W39" s="247">
        <v>18120</v>
      </c>
      <c r="X39" s="247">
        <v>17130</v>
      </c>
      <c r="Y39" s="258">
        <v>15180</v>
      </c>
      <c r="Z39" s="247">
        <v>15170</v>
      </c>
      <c r="AA39" s="247">
        <v>13290</v>
      </c>
      <c r="AB39" s="247">
        <v>12780</v>
      </c>
      <c r="AC39" s="258">
        <v>12140</v>
      </c>
      <c r="AD39" s="247">
        <v>12950</v>
      </c>
      <c r="AE39" s="247">
        <v>13550</v>
      </c>
      <c r="AF39" s="247">
        <v>13810</v>
      </c>
      <c r="AG39" s="258">
        <v>14260</v>
      </c>
      <c r="AH39" s="247">
        <v>15880</v>
      </c>
      <c r="AI39" s="247">
        <v>15470</v>
      </c>
      <c r="AJ39" s="247">
        <v>16570</v>
      </c>
      <c r="AK39" s="258">
        <v>17280</v>
      </c>
      <c r="AL39" s="247">
        <v>18410</v>
      </c>
      <c r="AN39" s="247">
        <v>6710</v>
      </c>
      <c r="AO39" s="247">
        <v>8000</v>
      </c>
      <c r="AP39" s="247">
        <f>+L39</f>
        <v>9560</v>
      </c>
      <c r="AQ39" s="247">
        <f>+P39</f>
        <v>12450</v>
      </c>
      <c r="AR39" s="247">
        <f>+T39</f>
        <v>16480</v>
      </c>
      <c r="AS39" s="247">
        <f>+X39</f>
        <v>17130</v>
      </c>
      <c r="AT39" s="247">
        <f>+AB39</f>
        <v>12780</v>
      </c>
      <c r="AU39" s="247">
        <f>+AF39</f>
        <v>13810</v>
      </c>
      <c r="AV39" s="247">
        <f>+AJ39</f>
        <v>16570</v>
      </c>
    </row>
    <row r="40" spans="2:48" s="12" customFormat="1" x14ac:dyDescent="0.15">
      <c r="B40" s="12" t="s">
        <v>32</v>
      </c>
      <c r="C40" s="249">
        <v>49910</v>
      </c>
      <c r="D40" s="249">
        <v>59000</v>
      </c>
      <c r="E40" s="259">
        <v>62670</v>
      </c>
      <c r="F40" s="249">
        <v>66990</v>
      </c>
      <c r="G40" s="249">
        <v>68910</v>
      </c>
      <c r="H40" s="249">
        <v>61910</v>
      </c>
      <c r="I40" s="259">
        <f t="shared" ref="I40:P40" si="28">SUM(I37:I39)</f>
        <v>69960</v>
      </c>
      <c r="J40" s="249">
        <f t="shared" si="28"/>
        <v>72690</v>
      </c>
      <c r="K40" s="249">
        <f t="shared" si="28"/>
        <v>75830</v>
      </c>
      <c r="L40" s="249">
        <f t="shared" si="28"/>
        <v>79790</v>
      </c>
      <c r="M40" s="259">
        <f t="shared" si="28"/>
        <v>75710</v>
      </c>
      <c r="N40" s="249">
        <f t="shared" si="28"/>
        <v>88970</v>
      </c>
      <c r="O40" s="249">
        <f t="shared" si="28"/>
        <v>97990</v>
      </c>
      <c r="P40" s="249">
        <f t="shared" si="28"/>
        <v>109810</v>
      </c>
      <c r="Q40" s="259">
        <f t="shared" ref="Q40:W40" si="29">SUM(Q37:Q39)</f>
        <v>126230</v>
      </c>
      <c r="R40" s="249">
        <f t="shared" si="29"/>
        <v>138600</v>
      </c>
      <c r="S40" s="249">
        <f t="shared" si="29"/>
        <v>143170</v>
      </c>
      <c r="T40" s="249">
        <f t="shared" si="29"/>
        <v>154160</v>
      </c>
      <c r="U40" s="259">
        <f t="shared" si="29"/>
        <v>147090</v>
      </c>
      <c r="V40" s="249">
        <f t="shared" si="29"/>
        <v>138380</v>
      </c>
      <c r="W40" s="249">
        <f t="shared" si="29"/>
        <v>136840</v>
      </c>
      <c r="X40" s="249">
        <f t="shared" ref="X40:AL40" si="30">SUM(X37:X39)</f>
        <v>149120</v>
      </c>
      <c r="Y40" s="259">
        <f t="shared" si="30"/>
        <v>158150</v>
      </c>
      <c r="Z40" s="249">
        <f t="shared" si="30"/>
        <v>164980</v>
      </c>
      <c r="AA40" s="249">
        <f t="shared" si="30"/>
        <v>159240</v>
      </c>
      <c r="AB40" s="249">
        <f t="shared" si="30"/>
        <v>165840</v>
      </c>
      <c r="AC40" s="259">
        <f t="shared" si="30"/>
        <v>179520</v>
      </c>
      <c r="AD40" s="249">
        <f t="shared" si="30"/>
        <v>190720</v>
      </c>
      <c r="AE40" s="249">
        <f t="shared" si="30"/>
        <v>198840</v>
      </c>
      <c r="AF40" s="249">
        <f t="shared" si="30"/>
        <v>202310</v>
      </c>
      <c r="AG40" s="259">
        <f t="shared" si="30"/>
        <v>198210</v>
      </c>
      <c r="AH40" s="249">
        <f t="shared" si="30"/>
        <v>217670</v>
      </c>
      <c r="AI40" s="249">
        <f t="shared" si="30"/>
        <v>232720</v>
      </c>
      <c r="AJ40" s="249">
        <f t="shared" si="30"/>
        <v>247310</v>
      </c>
      <c r="AK40" s="259">
        <f t="shared" si="30"/>
        <v>254210</v>
      </c>
      <c r="AL40" s="249">
        <f t="shared" si="30"/>
        <v>290090</v>
      </c>
      <c r="AM40" s="211"/>
      <c r="AN40" s="249">
        <f t="shared" ref="AN40:AS40" si="31">SUM(AN37:AN39)</f>
        <v>59000</v>
      </c>
      <c r="AO40" s="249">
        <f t="shared" si="31"/>
        <v>61910</v>
      </c>
      <c r="AP40" s="249">
        <f t="shared" si="31"/>
        <v>79790</v>
      </c>
      <c r="AQ40" s="249">
        <f t="shared" si="31"/>
        <v>109810</v>
      </c>
      <c r="AR40" s="249">
        <f t="shared" si="31"/>
        <v>154160</v>
      </c>
      <c r="AS40" s="249">
        <f t="shared" si="31"/>
        <v>149120</v>
      </c>
      <c r="AT40" s="249">
        <f>SUM(AT37:AT39)</f>
        <v>165840</v>
      </c>
      <c r="AU40" s="249">
        <f>SUM(AU37:AU39)</f>
        <v>202310</v>
      </c>
      <c r="AV40" s="249">
        <f t="shared" ref="AV40" si="32">SUM(AV37:AV39)</f>
        <v>247310</v>
      </c>
    </row>
    <row r="41" spans="2:48"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L41" s="215"/>
      <c r="AN41" s="215"/>
      <c r="AO41" s="215"/>
      <c r="AP41" s="215"/>
      <c r="AQ41" s="215"/>
      <c r="AR41" s="215"/>
      <c r="AS41" s="215"/>
      <c r="AT41" s="215"/>
      <c r="AU41" s="215"/>
      <c r="AV41" s="215"/>
    </row>
    <row r="42" spans="2:48"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L42" s="215"/>
      <c r="AN42" s="215"/>
      <c r="AO42" s="215"/>
      <c r="AP42" s="215"/>
      <c r="AQ42" s="215"/>
      <c r="AR42" s="215"/>
      <c r="AS42" s="215"/>
      <c r="AT42" s="215"/>
      <c r="AU42" s="215"/>
      <c r="AV42" s="215"/>
    </row>
    <row r="43" spans="2:48" x14ac:dyDescent="0.15">
      <c r="B43" s="11" t="s">
        <v>34</v>
      </c>
      <c r="C43" s="247"/>
      <c r="D43" s="247"/>
      <c r="E43" s="258"/>
      <c r="F43" s="247"/>
      <c r="G43" s="247"/>
      <c r="H43" s="247"/>
      <c r="I43" s="258">
        <v>1706.212</v>
      </c>
      <c r="J43" s="247">
        <v>1525.857</v>
      </c>
      <c r="K43" s="247">
        <v>1542.605</v>
      </c>
      <c r="L43" s="247">
        <v>1512.0060000000001</v>
      </c>
      <c r="M43" s="258">
        <v>1386.242</v>
      </c>
      <c r="N43" s="247">
        <v>1639.0930000000001</v>
      </c>
      <c r="O43" s="247">
        <v>1863.385</v>
      </c>
      <c r="P43" s="247">
        <v>2147.8040000000001</v>
      </c>
      <c r="Q43" s="258">
        <v>2473.5219999999999</v>
      </c>
      <c r="R43" s="247">
        <v>2560.6</v>
      </c>
      <c r="S43" s="247">
        <v>2793.0360000000001</v>
      </c>
      <c r="T43" s="247">
        <v>2859.66</v>
      </c>
      <c r="U43" s="258">
        <v>3177.3380000000002</v>
      </c>
      <c r="V43" s="247">
        <v>3046.0309999999999</v>
      </c>
      <c r="W43" s="247">
        <v>2896.366</v>
      </c>
      <c r="X43" s="247">
        <v>3076.24</v>
      </c>
      <c r="Y43" s="258">
        <v>3477.2979999999998</v>
      </c>
      <c r="Z43" s="247">
        <v>3771.96</v>
      </c>
      <c r="AA43" s="247">
        <v>3881.413</v>
      </c>
      <c r="AB43" s="247">
        <v>4072.4369999999999</v>
      </c>
      <c r="AC43" s="258">
        <v>4658.3280000000004</v>
      </c>
      <c r="AD43" s="247">
        <v>4698.4110000000001</v>
      </c>
      <c r="AE43" s="247">
        <v>4609.9750000000004</v>
      </c>
      <c r="AF43" s="247">
        <v>5137.2560000000003</v>
      </c>
      <c r="AG43" s="258">
        <v>4681.4340000000002</v>
      </c>
      <c r="AH43" s="247">
        <v>4473.585</v>
      </c>
      <c r="AI43" s="247">
        <v>4568.991</v>
      </c>
      <c r="AJ43" s="247">
        <v>4529.3140000000003</v>
      </c>
      <c r="AK43" s="258">
        <v>4945.201</v>
      </c>
      <c r="AL43" s="247">
        <v>5130.982</v>
      </c>
      <c r="AN43" s="247">
        <v>1374.837</v>
      </c>
      <c r="AO43" s="247">
        <v>1576.6980000000001</v>
      </c>
      <c r="AP43" s="247">
        <v>1512.0060000000001</v>
      </c>
      <c r="AQ43" s="247">
        <f>+P43</f>
        <v>2147.8040000000001</v>
      </c>
      <c r="AR43" s="247">
        <f>+T43</f>
        <v>2859.66</v>
      </c>
      <c r="AS43" s="247">
        <f>+X43</f>
        <v>3076.24</v>
      </c>
      <c r="AT43" s="247">
        <f>+AB43</f>
        <v>4072.4369999999999</v>
      </c>
      <c r="AU43" s="247">
        <f>+AF43</f>
        <v>5137.2560000000003</v>
      </c>
      <c r="AV43" s="247">
        <f>+AJ43</f>
        <v>4529.3140000000003</v>
      </c>
    </row>
    <row r="44" spans="2:48" x14ac:dyDescent="0.15">
      <c r="B44" s="14" t="s">
        <v>38</v>
      </c>
      <c r="C44" s="247"/>
      <c r="D44" s="247"/>
      <c r="E44" s="258"/>
      <c r="F44" s="247"/>
      <c r="G44" s="247"/>
      <c r="H44" s="247"/>
      <c r="I44" s="258">
        <f>I43</f>
        <v>1706.212</v>
      </c>
      <c r="J44" s="247">
        <f t="shared" ref="J44:T44" si="33">J43</f>
        <v>1525.857</v>
      </c>
      <c r="K44" s="247">
        <f t="shared" si="33"/>
        <v>1542.605</v>
      </c>
      <c r="L44" s="247">
        <f t="shared" si="33"/>
        <v>1512.0060000000001</v>
      </c>
      <c r="M44" s="258">
        <f t="shared" si="33"/>
        <v>1386.242</v>
      </c>
      <c r="N44" s="247">
        <f t="shared" si="33"/>
        <v>1639.0930000000001</v>
      </c>
      <c r="O44" s="247">
        <f t="shared" si="33"/>
        <v>1863.385</v>
      </c>
      <c r="P44" s="247">
        <f t="shared" si="33"/>
        <v>2147.8040000000001</v>
      </c>
      <c r="Q44" s="258">
        <f t="shared" si="33"/>
        <v>2473.5219999999999</v>
      </c>
      <c r="R44" s="247">
        <f t="shared" si="33"/>
        <v>2560.6</v>
      </c>
      <c r="S44" s="247">
        <f t="shared" si="33"/>
        <v>2793.0360000000001</v>
      </c>
      <c r="T44" s="247">
        <f t="shared" si="33"/>
        <v>2859.66</v>
      </c>
      <c r="U44" s="258">
        <f>+U43</f>
        <v>3177.3380000000002</v>
      </c>
      <c r="V44" s="247">
        <v>3046.0309999999999</v>
      </c>
      <c r="W44" s="247">
        <v>2896.366</v>
      </c>
      <c r="X44" s="247">
        <v>3076.24</v>
      </c>
      <c r="Y44" s="258">
        <v>3477.2979999999998</v>
      </c>
      <c r="Z44" s="247">
        <v>3771.96</v>
      </c>
      <c r="AA44" s="247">
        <v>3881.413</v>
      </c>
      <c r="AB44" s="247">
        <v>4072.4369999999999</v>
      </c>
      <c r="AC44" s="258">
        <v>4658.3280000000004</v>
      </c>
      <c r="AD44" s="247">
        <v>4698.4110000000001</v>
      </c>
      <c r="AE44" s="247">
        <v>4609.9750000000004</v>
      </c>
      <c r="AF44" s="247">
        <v>5137.2560000000003</v>
      </c>
      <c r="AG44" s="258">
        <v>4681.4340000000002</v>
      </c>
      <c r="AH44" s="247">
        <v>4473.585</v>
      </c>
      <c r="AI44" s="247">
        <v>4568.991</v>
      </c>
      <c r="AJ44" s="247">
        <v>4529.3140000000003</v>
      </c>
      <c r="AK44" s="258">
        <v>4945.201</v>
      </c>
      <c r="AL44" s="247">
        <v>5130.982</v>
      </c>
      <c r="AN44" s="247">
        <f>AN43</f>
        <v>1374.837</v>
      </c>
      <c r="AO44" s="247">
        <f>AO43</f>
        <v>1576.6980000000001</v>
      </c>
      <c r="AP44" s="247">
        <f>AP43</f>
        <v>1512.0060000000001</v>
      </c>
      <c r="AQ44" s="247">
        <f>AQ43</f>
        <v>2147.8040000000001</v>
      </c>
      <c r="AR44" s="247">
        <f>+T44</f>
        <v>2859.66</v>
      </c>
      <c r="AS44" s="247">
        <f>+X44</f>
        <v>3076.24</v>
      </c>
      <c r="AT44" s="247">
        <f>+AB44</f>
        <v>4072.4369999999999</v>
      </c>
      <c r="AU44" s="247">
        <f>+AF44</f>
        <v>5137.2560000000003</v>
      </c>
      <c r="AV44" s="247">
        <f>+AJ44</f>
        <v>4529.3140000000003</v>
      </c>
    </row>
    <row r="45" spans="2:48"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K45" s="258"/>
      <c r="AL45" s="247"/>
      <c r="AN45" s="247"/>
      <c r="AO45" s="247"/>
      <c r="AP45" s="247"/>
      <c r="AQ45" s="247"/>
      <c r="AR45" s="247"/>
      <c r="AS45" s="247"/>
      <c r="AT45" s="247"/>
      <c r="AU45" s="247"/>
      <c r="AV45" s="247"/>
    </row>
    <row r="46" spans="2:48"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L46" s="247"/>
      <c r="AN46" s="247"/>
      <c r="AO46" s="247"/>
      <c r="AP46" s="247"/>
      <c r="AQ46" s="247"/>
      <c r="AR46" s="247"/>
      <c r="AS46" s="247"/>
      <c r="AT46" s="247"/>
      <c r="AU46" s="247"/>
      <c r="AV46" s="247"/>
    </row>
    <row r="47" spans="2:48" x14ac:dyDescent="0.15">
      <c r="B47" s="219" t="s">
        <v>37</v>
      </c>
      <c r="C47" s="249"/>
      <c r="D47" s="249"/>
      <c r="E47" s="259"/>
      <c r="F47" s="249"/>
      <c r="G47" s="249"/>
      <c r="H47" s="249"/>
      <c r="I47" s="259">
        <f t="shared" ref="I47:W47" si="34">SUM(I45:I46,I43)</f>
        <v>1706.212</v>
      </c>
      <c r="J47" s="249">
        <f t="shared" si="34"/>
        <v>1525.857</v>
      </c>
      <c r="K47" s="249">
        <f t="shared" si="34"/>
        <v>1542.605</v>
      </c>
      <c r="L47" s="249">
        <f t="shared" si="34"/>
        <v>1512.0060000000001</v>
      </c>
      <c r="M47" s="259">
        <f t="shared" si="34"/>
        <v>1386.242</v>
      </c>
      <c r="N47" s="249">
        <f t="shared" si="34"/>
        <v>1639.0930000000001</v>
      </c>
      <c r="O47" s="249">
        <f t="shared" si="34"/>
        <v>1863.385</v>
      </c>
      <c r="P47" s="249">
        <f t="shared" si="34"/>
        <v>2147.8040000000001</v>
      </c>
      <c r="Q47" s="259">
        <f t="shared" si="34"/>
        <v>2473.5219999999999</v>
      </c>
      <c r="R47" s="249">
        <f t="shared" si="34"/>
        <v>2560.6</v>
      </c>
      <c r="S47" s="249">
        <f t="shared" si="34"/>
        <v>2793.0360000000001</v>
      </c>
      <c r="T47" s="249">
        <f t="shared" si="34"/>
        <v>2859.66</v>
      </c>
      <c r="U47" s="259">
        <f t="shared" si="34"/>
        <v>3177.3380000000002</v>
      </c>
      <c r="V47" s="249">
        <f t="shared" si="34"/>
        <v>3046.0309999999999</v>
      </c>
      <c r="W47" s="249">
        <f t="shared" si="34"/>
        <v>2896.366</v>
      </c>
      <c r="X47" s="249">
        <f t="shared" ref="X47:AH47" si="35">SUM(X45:X46,X43)</f>
        <v>3076.24</v>
      </c>
      <c r="Y47" s="259">
        <f t="shared" si="35"/>
        <v>3477.2979999999998</v>
      </c>
      <c r="Z47" s="249">
        <f t="shared" si="35"/>
        <v>3771.96</v>
      </c>
      <c r="AA47" s="249">
        <f t="shared" si="35"/>
        <v>3881.413</v>
      </c>
      <c r="AB47" s="249">
        <f t="shared" si="35"/>
        <v>4072.4369999999999</v>
      </c>
      <c r="AC47" s="259">
        <f t="shared" si="35"/>
        <v>4658.3280000000004</v>
      </c>
      <c r="AD47" s="249">
        <f t="shared" si="35"/>
        <v>4698.4110000000001</v>
      </c>
      <c r="AE47" s="249">
        <f t="shared" si="35"/>
        <v>4609.9750000000004</v>
      </c>
      <c r="AF47" s="249">
        <f t="shared" si="35"/>
        <v>5137.2560000000003</v>
      </c>
      <c r="AG47" s="259">
        <f t="shared" si="35"/>
        <v>4681.4340000000002</v>
      </c>
      <c r="AH47" s="249">
        <f t="shared" si="35"/>
        <v>4473.585</v>
      </c>
      <c r="AI47" s="249">
        <f t="shared" ref="AI47:AL47" si="36">SUM(AI45:AI46,AI43)</f>
        <v>4568.991</v>
      </c>
      <c r="AJ47" s="249">
        <f t="shared" si="36"/>
        <v>4529.3140000000003</v>
      </c>
      <c r="AK47" s="259">
        <f t="shared" si="36"/>
        <v>4945.201</v>
      </c>
      <c r="AL47" s="249">
        <f t="shared" si="36"/>
        <v>5130.982</v>
      </c>
      <c r="AM47" s="244"/>
      <c r="AN47" s="249">
        <f t="shared" ref="AN47:AS47" si="37">SUM(AN45:AN46,AN43)</f>
        <v>1374.837</v>
      </c>
      <c r="AO47" s="249">
        <f t="shared" si="37"/>
        <v>1576.6980000000001</v>
      </c>
      <c r="AP47" s="249">
        <f t="shared" si="37"/>
        <v>1512.0060000000001</v>
      </c>
      <c r="AQ47" s="249">
        <f t="shared" si="37"/>
        <v>2147.8040000000001</v>
      </c>
      <c r="AR47" s="249">
        <f t="shared" si="37"/>
        <v>2859.66</v>
      </c>
      <c r="AS47" s="249">
        <f t="shared" si="37"/>
        <v>3076.24</v>
      </c>
      <c r="AT47" s="249">
        <f>SUM(AT45:AT46,AT43)</f>
        <v>4072.4369999999999</v>
      </c>
      <c r="AU47" s="249">
        <f>SUM(AU45:AU46,AU43)</f>
        <v>5137.2560000000003</v>
      </c>
      <c r="AV47" s="249">
        <f t="shared" ref="AV47" si="38">SUM(AV45:AV46,AV43)</f>
        <v>4529.3140000000003</v>
      </c>
    </row>
    <row r="48" spans="2:48"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L48" s="215"/>
      <c r="AN48" s="215"/>
      <c r="AO48" s="215"/>
      <c r="AP48" s="215"/>
      <c r="AQ48" s="215"/>
      <c r="AR48" s="215"/>
      <c r="AS48" s="215"/>
      <c r="AT48" s="215"/>
      <c r="AU48" s="215"/>
      <c r="AV48" s="215"/>
    </row>
    <row r="49" spans="2:48" x14ac:dyDescent="0.15">
      <c r="B49" s="11" t="s">
        <v>171</v>
      </c>
      <c r="C49" s="250"/>
      <c r="D49" s="250"/>
      <c r="E49" s="262"/>
      <c r="F49" s="250"/>
      <c r="G49" s="250"/>
      <c r="H49" s="250"/>
      <c r="I49" s="262">
        <f>+I39/I40</f>
        <v>0.11049170954831332</v>
      </c>
      <c r="J49" s="250">
        <f t="shared" ref="J49:O49" si="39">+J39/J40</f>
        <v>0.11569679460723621</v>
      </c>
      <c r="K49" s="250">
        <f t="shared" si="39"/>
        <v>0.11525781353026507</v>
      </c>
      <c r="L49" s="250">
        <f t="shared" si="39"/>
        <v>0.11981451309687931</v>
      </c>
      <c r="M49" s="262">
        <f t="shared" si="39"/>
        <v>0.17751948223484348</v>
      </c>
      <c r="N49" s="250">
        <f t="shared" si="39"/>
        <v>0.14746543778801843</v>
      </c>
      <c r="O49" s="250">
        <f t="shared" si="39"/>
        <v>0.13480967445657721</v>
      </c>
      <c r="P49" s="250">
        <f t="shared" ref="P49:W49" si="40">+P39/P40</f>
        <v>0.11337765230853292</v>
      </c>
      <c r="Q49" s="262">
        <f t="shared" si="40"/>
        <v>0.1101164540917373</v>
      </c>
      <c r="R49" s="250">
        <f t="shared" si="40"/>
        <v>0.10707070707070707</v>
      </c>
      <c r="S49" s="250">
        <f t="shared" si="40"/>
        <v>0.10805336313473493</v>
      </c>
      <c r="T49" s="250">
        <f t="shared" si="40"/>
        <v>0.10690192008303062</v>
      </c>
      <c r="U49" s="262">
        <f t="shared" si="40"/>
        <v>0.10850499694064858</v>
      </c>
      <c r="V49" s="250">
        <f t="shared" si="40"/>
        <v>0.1255239196415667</v>
      </c>
      <c r="W49" s="250">
        <f t="shared" si="40"/>
        <v>0.13241742180648933</v>
      </c>
      <c r="X49" s="250">
        <f t="shared" ref="X49:AD49" si="41">+X39/X40</f>
        <v>0.1148739270386266</v>
      </c>
      <c r="Y49" s="262">
        <f t="shared" si="41"/>
        <v>9.5984824533670562E-2</v>
      </c>
      <c r="Z49" s="250">
        <f t="shared" si="41"/>
        <v>9.1950539459328406E-2</v>
      </c>
      <c r="AA49" s="250">
        <f t="shared" si="41"/>
        <v>8.3458929917106253E-2</v>
      </c>
      <c r="AB49" s="250">
        <f t="shared" si="41"/>
        <v>7.7062228654124459E-2</v>
      </c>
      <c r="AC49" s="262">
        <f t="shared" si="41"/>
        <v>6.7624777183600715E-2</v>
      </c>
      <c r="AD49" s="250">
        <f t="shared" si="41"/>
        <v>6.7900587248322153E-2</v>
      </c>
      <c r="AE49" s="250">
        <f t="shared" ref="AE49:AG49" si="42">+AE39/AE40</f>
        <v>6.8145242405954543E-2</v>
      </c>
      <c r="AF49" s="250">
        <f t="shared" si="42"/>
        <v>6.8261578765261233E-2</v>
      </c>
      <c r="AG49" s="262">
        <f t="shared" si="42"/>
        <v>7.1943897886080424E-2</v>
      </c>
      <c r="AH49" s="296">
        <f t="shared" ref="AH49:AI49" si="43">+AH39/AH40</f>
        <v>7.2954472366426243E-2</v>
      </c>
      <c r="AI49" s="296">
        <f t="shared" si="43"/>
        <v>6.647473358542455E-2</v>
      </c>
      <c r="AJ49" s="296">
        <f t="shared" ref="AJ49:AL49" si="44">+AJ39/AJ40</f>
        <v>6.700093000687396E-2</v>
      </c>
      <c r="AK49" s="262">
        <f t="shared" si="44"/>
        <v>6.7975296015105616E-2</v>
      </c>
      <c r="AL49" s="296">
        <f t="shared" si="44"/>
        <v>6.34630631872867E-2</v>
      </c>
      <c r="AN49" s="250">
        <f t="shared" ref="AN49:AS49" si="45">+AN39/AN40</f>
        <v>0.11372881355932203</v>
      </c>
      <c r="AO49" s="250">
        <f t="shared" si="45"/>
        <v>0.12921983524471006</v>
      </c>
      <c r="AP49" s="250">
        <f t="shared" si="45"/>
        <v>0.11981451309687931</v>
      </c>
      <c r="AQ49" s="250">
        <f t="shared" si="45"/>
        <v>0.11337765230853292</v>
      </c>
      <c r="AR49" s="250">
        <f t="shared" si="45"/>
        <v>0.10690192008303062</v>
      </c>
      <c r="AS49" s="250">
        <f t="shared" si="45"/>
        <v>0.1148739270386266</v>
      </c>
      <c r="AT49" s="250">
        <f>+AT39/AT40</f>
        <v>7.7062228654124459E-2</v>
      </c>
      <c r="AU49" s="250">
        <f>+AU39/AU40</f>
        <v>6.8261578765261233E-2</v>
      </c>
      <c r="AV49" s="250">
        <f t="shared" ref="AV49" si="46">+AV39/AV40</f>
        <v>6.700093000687396E-2</v>
      </c>
    </row>
    <row r="50" spans="2:48" x14ac:dyDescent="0.15">
      <c r="B50" s="7" t="s">
        <v>40</v>
      </c>
      <c r="C50" s="250"/>
      <c r="D50" s="250"/>
      <c r="E50" s="262"/>
      <c r="F50" s="250"/>
      <c r="G50" s="250"/>
      <c r="H50" s="250"/>
      <c r="I50" s="262">
        <f>+I47/I39</f>
        <v>0.22072600258732211</v>
      </c>
      <c r="J50" s="250">
        <f t="shared" ref="J50:O50" si="47">+J47/J39</f>
        <v>0.18143365041617121</v>
      </c>
      <c r="K50" s="250">
        <f t="shared" si="47"/>
        <v>0.17649942791762013</v>
      </c>
      <c r="L50" s="250">
        <f t="shared" si="47"/>
        <v>0.15815962343096235</v>
      </c>
      <c r="M50" s="262">
        <f t="shared" si="47"/>
        <v>0.10314300595238095</v>
      </c>
      <c r="N50" s="250">
        <f t="shared" si="47"/>
        <v>0.12493086890243903</v>
      </c>
      <c r="O50" s="250">
        <f t="shared" si="47"/>
        <v>0.14105866767600303</v>
      </c>
      <c r="P50" s="250">
        <f t="shared" ref="P50:W50" si="48">+P47/P39</f>
        <v>0.17251437751004017</v>
      </c>
      <c r="Q50" s="262">
        <f t="shared" si="48"/>
        <v>0.17795122302158273</v>
      </c>
      <c r="R50" s="250">
        <f t="shared" si="48"/>
        <v>0.17254716981132076</v>
      </c>
      <c r="S50" s="250">
        <f t="shared" si="48"/>
        <v>0.1805453135100194</v>
      </c>
      <c r="T50" s="250">
        <f t="shared" si="48"/>
        <v>0.17352305825242717</v>
      </c>
      <c r="U50" s="262">
        <f t="shared" si="48"/>
        <v>0.19908132832080203</v>
      </c>
      <c r="V50" s="250">
        <f t="shared" si="48"/>
        <v>0.17536160046056418</v>
      </c>
      <c r="W50" s="250">
        <f t="shared" si="48"/>
        <v>0.15984359823399558</v>
      </c>
      <c r="X50" s="250">
        <f t="shared" ref="X50:AD50" si="49">+X47/X39</f>
        <v>0.17958201984821948</v>
      </c>
      <c r="Y50" s="262">
        <f t="shared" si="49"/>
        <v>0.22907101449275361</v>
      </c>
      <c r="Z50" s="250">
        <f t="shared" si="49"/>
        <v>0.24864601186552407</v>
      </c>
      <c r="AA50" s="250">
        <f t="shared" si="49"/>
        <v>0.29205515425131678</v>
      </c>
      <c r="AB50" s="250">
        <f t="shared" si="49"/>
        <v>0.31865704225352109</v>
      </c>
      <c r="AC50" s="262">
        <f t="shared" si="49"/>
        <v>0.38371729818780892</v>
      </c>
      <c r="AD50" s="250">
        <f t="shared" si="49"/>
        <v>0.36281166023166023</v>
      </c>
      <c r="AE50" s="250">
        <f t="shared" ref="AE50:AG50" si="50">+AE47/AE39</f>
        <v>0.34021955719557201</v>
      </c>
      <c r="AF50" s="250">
        <f t="shared" si="50"/>
        <v>0.37199536567704566</v>
      </c>
      <c r="AG50" s="262">
        <f t="shared" si="50"/>
        <v>0.32829130434782611</v>
      </c>
      <c r="AH50" s="296">
        <f t="shared" ref="AH50:AI50" si="51">+AH47/AH39</f>
        <v>0.28171190176322419</v>
      </c>
      <c r="AI50" s="296">
        <f t="shared" si="51"/>
        <v>0.29534524886877828</v>
      </c>
      <c r="AJ50" s="296">
        <f t="shared" ref="AJ50:AL50" si="52">+AJ47/AJ39</f>
        <v>0.27334423657211832</v>
      </c>
      <c r="AK50" s="262">
        <f t="shared" si="52"/>
        <v>0.28618061342592593</v>
      </c>
      <c r="AL50" s="296">
        <f t="shared" si="52"/>
        <v>0.2787062466051059</v>
      </c>
      <c r="AN50" s="250">
        <f t="shared" ref="AN50:AS50" si="53">+AN47/AN39</f>
        <v>0.20489374068554397</v>
      </c>
      <c r="AO50" s="250">
        <f t="shared" si="53"/>
        <v>0.19708725000000002</v>
      </c>
      <c r="AP50" s="250">
        <f t="shared" si="53"/>
        <v>0.15815962343096235</v>
      </c>
      <c r="AQ50" s="250">
        <f t="shared" si="53"/>
        <v>0.17251437751004017</v>
      </c>
      <c r="AR50" s="250">
        <f t="shared" si="53"/>
        <v>0.17352305825242717</v>
      </c>
      <c r="AS50" s="250">
        <f t="shared" si="53"/>
        <v>0.17958201984821948</v>
      </c>
      <c r="AT50" s="250">
        <f>+AT47/AT39</f>
        <v>0.31865704225352109</v>
      </c>
      <c r="AU50" s="250">
        <f>+AU47/AU39</f>
        <v>0.37199536567704566</v>
      </c>
      <c r="AV50" s="250">
        <f t="shared" ref="AV50" si="54">+AV47/AV39</f>
        <v>0.27334423657211832</v>
      </c>
    </row>
    <row r="51" spans="2:48"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L51" s="215"/>
      <c r="AN51" s="215"/>
      <c r="AO51" s="215"/>
      <c r="AP51" s="215"/>
      <c r="AQ51" s="215"/>
      <c r="AR51" s="215"/>
      <c r="AS51" s="215"/>
      <c r="AT51" s="215"/>
      <c r="AU51" s="215"/>
      <c r="AV51" s="215"/>
    </row>
    <row r="52" spans="2:48"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L52" s="215"/>
      <c r="AN52" s="215"/>
      <c r="AO52" s="215"/>
      <c r="AP52" s="215"/>
      <c r="AQ52" s="215"/>
      <c r="AR52" s="215"/>
      <c r="AS52" s="215"/>
      <c r="AT52" s="215"/>
      <c r="AU52" s="215"/>
      <c r="AV52" s="215"/>
    </row>
    <row r="53" spans="2:48" x14ac:dyDescent="0.15">
      <c r="B53" s="8" t="s">
        <v>43</v>
      </c>
      <c r="C53" s="247"/>
      <c r="D53" s="247"/>
      <c r="E53" s="258"/>
      <c r="F53" s="247"/>
      <c r="G53" s="247"/>
      <c r="H53" s="247"/>
      <c r="I53" s="258">
        <v>1298100</v>
      </c>
      <c r="J53" s="247">
        <v>1205100</v>
      </c>
      <c r="K53" s="247">
        <v>1338900</v>
      </c>
      <c r="L53" s="247">
        <v>1437600</v>
      </c>
      <c r="M53" s="258">
        <v>3167000</v>
      </c>
      <c r="N53" s="247">
        <v>2899700</v>
      </c>
      <c r="O53" s="247">
        <v>2570000</v>
      </c>
      <c r="P53" s="247">
        <v>3175200</v>
      </c>
      <c r="Q53" s="258">
        <v>4404600</v>
      </c>
      <c r="R53" s="247">
        <v>2949900</v>
      </c>
      <c r="S53" s="247">
        <v>3304700</v>
      </c>
      <c r="T53" s="247">
        <v>3523500</v>
      </c>
      <c r="U53" s="258">
        <v>3932400</v>
      </c>
      <c r="V53" s="247">
        <v>2563000</v>
      </c>
      <c r="W53" s="247">
        <v>2598600</v>
      </c>
      <c r="X53" s="247">
        <v>2533900</v>
      </c>
      <c r="Y53" s="258">
        <v>2734700</v>
      </c>
      <c r="Z53" s="247">
        <v>1996700</v>
      </c>
      <c r="AA53" s="247">
        <v>2102400</v>
      </c>
      <c r="AB53" s="247">
        <v>2467900</v>
      </c>
      <c r="AC53" s="258">
        <v>2529400</v>
      </c>
      <c r="AD53" s="247">
        <v>2341300</v>
      </c>
      <c r="AE53" s="247">
        <v>2407200</v>
      </c>
      <c r="AF53" s="247">
        <v>2674900</v>
      </c>
      <c r="AG53" s="258">
        <v>3043400</v>
      </c>
      <c r="AH53" s="247">
        <v>2864700</v>
      </c>
      <c r="AI53" s="247">
        <v>2689300</v>
      </c>
      <c r="AJ53" s="247">
        <v>3171100</v>
      </c>
      <c r="AK53" s="258">
        <v>3616000</v>
      </c>
      <c r="AL53" s="247">
        <v>3187000</v>
      </c>
      <c r="AN53" s="247">
        <v>4246600</v>
      </c>
      <c r="AO53" s="247">
        <v>4351800</v>
      </c>
      <c r="AP53" s="247">
        <f>SUM(I53:L53)</f>
        <v>5279700</v>
      </c>
      <c r="AQ53" s="247">
        <f>SUM(M53:P53)</f>
        <v>11811900</v>
      </c>
      <c r="AR53" s="247">
        <f>SUM(Q53:T53)</f>
        <v>14182700</v>
      </c>
      <c r="AS53" s="247">
        <f>SUM(U53:X53)</f>
        <v>11627900</v>
      </c>
      <c r="AT53" s="247">
        <f>SUM(Y53:AB53)</f>
        <v>9301700</v>
      </c>
      <c r="AU53" s="247">
        <f>SUM(AC53:AF53)</f>
        <v>9952800</v>
      </c>
      <c r="AV53" s="247">
        <f>SUM(AG53:AJ53)</f>
        <v>11768500</v>
      </c>
    </row>
    <row r="54" spans="2:48" x14ac:dyDescent="0.15">
      <c r="B54" s="8" t="s">
        <v>396</v>
      </c>
      <c r="C54" s="247"/>
      <c r="D54" s="247"/>
      <c r="E54" s="258"/>
      <c r="F54" s="247"/>
      <c r="G54" s="247"/>
      <c r="H54" s="247"/>
      <c r="I54" s="258">
        <v>318000</v>
      </c>
      <c r="J54" s="247">
        <v>330800</v>
      </c>
      <c r="K54" s="247">
        <v>375900</v>
      </c>
      <c r="L54" s="247">
        <v>410100</v>
      </c>
      <c r="M54" s="258">
        <v>751800</v>
      </c>
      <c r="N54" s="247">
        <v>775300</v>
      </c>
      <c r="O54" s="247">
        <v>811600</v>
      </c>
      <c r="P54" s="247">
        <v>1110100</v>
      </c>
      <c r="Q54" s="258">
        <v>1832700</v>
      </c>
      <c r="R54" s="247">
        <v>1139000</v>
      </c>
      <c r="S54" s="247">
        <v>1172200</v>
      </c>
      <c r="T54" s="247">
        <v>1362000</v>
      </c>
      <c r="U54" s="258">
        <v>1241300</v>
      </c>
      <c r="V54" s="247">
        <v>929200</v>
      </c>
      <c r="W54" s="247">
        <v>928600</v>
      </c>
      <c r="X54" s="247">
        <v>977500</v>
      </c>
      <c r="Y54" s="258">
        <v>1000800</v>
      </c>
      <c r="Z54" s="247">
        <v>790100</v>
      </c>
      <c r="AA54" s="247">
        <v>901500</v>
      </c>
      <c r="AB54" s="247">
        <v>899900</v>
      </c>
      <c r="AC54" s="258">
        <v>1077300</v>
      </c>
      <c r="AD54" s="247">
        <v>1001000</v>
      </c>
      <c r="AE54" s="247">
        <v>1027300</v>
      </c>
      <c r="AF54" s="247">
        <v>1277100</v>
      </c>
      <c r="AG54" s="258">
        <v>1453600</v>
      </c>
      <c r="AH54" s="247">
        <v>1303800</v>
      </c>
      <c r="AI54" s="247">
        <v>1377600</v>
      </c>
      <c r="AJ54" s="247">
        <v>1598100</v>
      </c>
      <c r="AK54" s="258">
        <v>1676700</v>
      </c>
      <c r="AL54" s="247">
        <v>1629300</v>
      </c>
      <c r="AN54" s="247">
        <v>1014500</v>
      </c>
      <c r="AO54" s="247">
        <v>1192300</v>
      </c>
      <c r="AP54" s="247">
        <f>SUM(I54:L54)</f>
        <v>1434800</v>
      </c>
      <c r="AQ54" s="247">
        <f>SUM(M54:P54)</f>
        <v>3448800</v>
      </c>
      <c r="AR54" s="247">
        <f>SUM(Q54:T54)</f>
        <v>5505900</v>
      </c>
      <c r="AS54" s="247">
        <f>SUM(U54:X54)</f>
        <v>4076600</v>
      </c>
      <c r="AT54" s="247">
        <f>SUM(Y54:AB54)</f>
        <v>3592300</v>
      </c>
      <c r="AU54" s="247">
        <f>SUM(AC54:AF54)</f>
        <v>4382700</v>
      </c>
      <c r="AV54" s="247">
        <f>SUM(AG54:AJ54)</f>
        <v>5733100</v>
      </c>
    </row>
    <row r="55" spans="2:48" x14ac:dyDescent="0.15">
      <c r="B55" s="6" t="s">
        <v>45</v>
      </c>
      <c r="C55" s="247"/>
      <c r="D55" s="247"/>
      <c r="E55" s="258"/>
      <c r="F55" s="247"/>
      <c r="G55" s="247"/>
      <c r="H55" s="247"/>
      <c r="I55" s="258">
        <v>36078.218703999999</v>
      </c>
      <c r="J55" s="247">
        <v>28657.705332000001</v>
      </c>
      <c r="K55" s="247">
        <v>31316.621588000002</v>
      </c>
      <c r="L55" s="247">
        <v>32325.825348999999</v>
      </c>
      <c r="M55" s="258">
        <v>75108.726281915369</v>
      </c>
      <c r="N55" s="247">
        <v>66481.925111000004</v>
      </c>
      <c r="O55" s="247">
        <v>57258.972476000003</v>
      </c>
      <c r="P55" s="247">
        <v>71500</v>
      </c>
      <c r="Q55" s="258">
        <v>100200</v>
      </c>
      <c r="R55" s="247">
        <v>65100</v>
      </c>
      <c r="S55" s="247">
        <v>71700</v>
      </c>
      <c r="T55" s="247">
        <v>80100</v>
      </c>
      <c r="U55" s="258">
        <v>98900</v>
      </c>
      <c r="V55" s="247">
        <v>61100</v>
      </c>
      <c r="W55" s="247">
        <v>60200</v>
      </c>
      <c r="X55" s="247">
        <v>59000</v>
      </c>
      <c r="Y55" s="258">
        <v>68400</v>
      </c>
      <c r="Z55" s="247">
        <v>44300</v>
      </c>
      <c r="AA55" s="247">
        <v>45200</v>
      </c>
      <c r="AB55" s="247">
        <v>53600</v>
      </c>
      <c r="AC55" s="258">
        <v>60600</v>
      </c>
      <c r="AD55" s="247">
        <v>55600</v>
      </c>
      <c r="AE55" s="247">
        <v>54400</v>
      </c>
      <c r="AF55" s="247">
        <v>67900</v>
      </c>
      <c r="AG55" s="258">
        <v>79300</v>
      </c>
      <c r="AH55" s="247">
        <v>68800</v>
      </c>
      <c r="AI55" s="247">
        <v>64600</v>
      </c>
      <c r="AJ55" s="247">
        <v>79300</v>
      </c>
      <c r="AK55" s="258">
        <v>93500</v>
      </c>
      <c r="AL55" s="247">
        <v>94300</v>
      </c>
      <c r="AN55" s="247">
        <v>107905</v>
      </c>
      <c r="AO55" s="247">
        <v>115572.839177</v>
      </c>
      <c r="AP55" s="247">
        <f>SUM(I55:L55)</f>
        <v>128378.37097299998</v>
      </c>
      <c r="AQ55" s="247">
        <f>SUM(M55:P55)</f>
        <v>270349.62386891537</v>
      </c>
      <c r="AR55" s="247">
        <f>SUM(Q55:T55)</f>
        <v>317100</v>
      </c>
      <c r="AS55" s="247">
        <f>SUM(U55:X55)</f>
        <v>279200</v>
      </c>
      <c r="AT55" s="247">
        <f>SUM(Y55:AB55)</f>
        <v>211500</v>
      </c>
      <c r="AU55" s="247">
        <f>SUM(AC55:AF55)</f>
        <v>238500</v>
      </c>
      <c r="AV55" s="247">
        <f>SUM(AG55:AJ55)</f>
        <v>292000</v>
      </c>
    </row>
    <row r="56" spans="2:48" x14ac:dyDescent="0.15">
      <c r="B56" s="8" t="s">
        <v>395</v>
      </c>
      <c r="C56" s="247"/>
      <c r="D56" s="247"/>
      <c r="E56" s="258"/>
      <c r="F56" s="247"/>
      <c r="G56" s="247"/>
      <c r="H56" s="247"/>
      <c r="I56" s="258">
        <v>6300</v>
      </c>
      <c r="J56" s="247">
        <v>5500</v>
      </c>
      <c r="K56" s="247">
        <v>6200</v>
      </c>
      <c r="L56" s="247">
        <v>6500</v>
      </c>
      <c r="M56" s="258">
        <v>16800</v>
      </c>
      <c r="N56" s="247">
        <v>15100</v>
      </c>
      <c r="O56" s="247">
        <v>17300</v>
      </c>
      <c r="P56" s="247">
        <v>24800</v>
      </c>
      <c r="Q56" s="258">
        <v>40900</v>
      </c>
      <c r="R56" s="247">
        <v>22500</v>
      </c>
      <c r="S56" s="247">
        <v>21600</v>
      </c>
      <c r="T56" s="247">
        <v>28900</v>
      </c>
      <c r="U56" s="258">
        <v>29500</v>
      </c>
      <c r="V56" s="247">
        <v>22200</v>
      </c>
      <c r="W56" s="247">
        <v>20200</v>
      </c>
      <c r="X56" s="247">
        <v>19400</v>
      </c>
      <c r="Y56" s="258">
        <v>20600</v>
      </c>
      <c r="Z56" s="247">
        <v>14800</v>
      </c>
      <c r="AA56" s="247">
        <v>16300</v>
      </c>
      <c r="AB56" s="247">
        <v>18700</v>
      </c>
      <c r="AC56" s="258">
        <v>26400</v>
      </c>
      <c r="AD56" s="247">
        <v>24400</v>
      </c>
      <c r="AE56" s="247">
        <v>24500</v>
      </c>
      <c r="AF56" s="247">
        <v>33400</v>
      </c>
      <c r="AG56" s="258">
        <v>41300</v>
      </c>
      <c r="AH56" s="247">
        <v>35400</v>
      </c>
      <c r="AI56" s="247">
        <v>35700</v>
      </c>
      <c r="AJ56" s="247">
        <v>42800</v>
      </c>
      <c r="AK56" s="258">
        <v>44700</v>
      </c>
      <c r="AL56" s="247">
        <v>48800</v>
      </c>
      <c r="AN56" s="247">
        <v>22200</v>
      </c>
      <c r="AO56" s="247">
        <v>26100</v>
      </c>
      <c r="AP56" s="247">
        <f t="shared" ref="AP56" si="55">SUM(I56:L56)</f>
        <v>24500</v>
      </c>
      <c r="AQ56" s="247">
        <f t="shared" ref="AQ56" si="56">SUM(M56:P56)</f>
        <v>74000</v>
      </c>
      <c r="AR56" s="247">
        <f t="shared" ref="AR56" si="57">SUM(Q56:T56)</f>
        <v>113900</v>
      </c>
      <c r="AS56" s="247">
        <f t="shared" ref="AS56" si="58">SUM(U56:X56)</f>
        <v>91300</v>
      </c>
      <c r="AT56" s="247">
        <f t="shared" ref="AT56" si="59">SUM(Y56:AB56)</f>
        <v>70400</v>
      </c>
      <c r="AU56" s="247">
        <f t="shared" ref="AU56" si="60">SUM(AC56:AF56)</f>
        <v>108700</v>
      </c>
      <c r="AV56" s="247">
        <f t="shared" ref="AV56" si="61">SUM(AG56:AJ56)</f>
        <v>155200</v>
      </c>
    </row>
    <row r="57" spans="2:48" x14ac:dyDescent="0.15">
      <c r="B57" s="11" t="s">
        <v>46</v>
      </c>
      <c r="C57" s="247"/>
      <c r="D57" s="247"/>
      <c r="E57" s="258"/>
      <c r="F57" s="247"/>
      <c r="G57" s="247"/>
      <c r="H57" s="247"/>
      <c r="I57" s="258">
        <v>63</v>
      </c>
      <c r="J57" s="247">
        <v>58</v>
      </c>
      <c r="K57" s="247">
        <v>66</v>
      </c>
      <c r="L57" s="247">
        <v>60</v>
      </c>
      <c r="M57" s="258">
        <v>63</v>
      </c>
      <c r="N57" s="247">
        <v>60</v>
      </c>
      <c r="O57" s="247">
        <v>66</v>
      </c>
      <c r="P57" s="247">
        <v>63</v>
      </c>
      <c r="Q57" s="258">
        <v>62</v>
      </c>
      <c r="R57" s="247">
        <v>61</v>
      </c>
      <c r="S57" s="247">
        <v>66</v>
      </c>
      <c r="T57" s="247">
        <v>63</v>
      </c>
      <c r="U57" s="258">
        <v>63</v>
      </c>
      <c r="V57" s="247">
        <v>61</v>
      </c>
      <c r="W57" s="247">
        <v>66</v>
      </c>
      <c r="X57" s="247">
        <v>63</v>
      </c>
      <c r="Y57" s="258">
        <v>64</v>
      </c>
      <c r="Z57" s="247">
        <v>60</v>
      </c>
      <c r="AA57" s="247">
        <v>65</v>
      </c>
      <c r="AB57" s="247">
        <v>62</v>
      </c>
      <c r="AC57" s="258">
        <v>63</v>
      </c>
      <c r="AD57" s="247">
        <v>61</v>
      </c>
      <c r="AE57" s="247">
        <v>66</v>
      </c>
      <c r="AF57" s="247">
        <v>61</v>
      </c>
      <c r="AG57" s="258">
        <v>62</v>
      </c>
      <c r="AH57" s="247">
        <v>60</v>
      </c>
      <c r="AI57" s="247">
        <v>66</v>
      </c>
      <c r="AJ57" s="247">
        <v>62</v>
      </c>
      <c r="AK57" s="258">
        <v>62</v>
      </c>
      <c r="AL57" s="247">
        <v>60</v>
      </c>
      <c r="AN57" s="247">
        <v>252</v>
      </c>
      <c r="AO57" s="247">
        <v>248.5</v>
      </c>
      <c r="AP57" s="247">
        <f>SUM(I57:L57)</f>
        <v>247</v>
      </c>
      <c r="AQ57" s="247">
        <f>SUM(M57:P57)</f>
        <v>252</v>
      </c>
      <c r="AR57" s="247">
        <f>SUM(Q57:T57)</f>
        <v>252</v>
      </c>
      <c r="AS57" s="247">
        <f>SUM(U57:X57)</f>
        <v>253</v>
      </c>
      <c r="AT57" s="247">
        <f>SUM(Y57:AB57)</f>
        <v>251</v>
      </c>
      <c r="AU57" s="247">
        <f>SUM(AC57:AF57)</f>
        <v>251</v>
      </c>
      <c r="AV57" s="247">
        <f>SUM(AG57:AJ57)</f>
        <v>250</v>
      </c>
    </row>
    <row r="58" spans="2:48" x14ac:dyDescent="0.15">
      <c r="B58" s="11" t="s">
        <v>47</v>
      </c>
      <c r="C58" s="254"/>
      <c r="D58" s="254"/>
      <c r="E58" s="265"/>
      <c r="F58" s="254"/>
      <c r="G58" s="254"/>
      <c r="H58" s="254"/>
      <c r="I58" s="265">
        <f t="shared" ref="I58:AL58" si="62">+I53/I57/AVERAGE(H27:I27)</f>
        <v>8.7419439561993662E-2</v>
      </c>
      <c r="J58" s="254">
        <f t="shared" si="62"/>
        <v>8.3612016929161176E-2</v>
      </c>
      <c r="K58" s="254">
        <f t="shared" si="62"/>
        <v>7.8009473702609633E-2</v>
      </c>
      <c r="L58" s="254">
        <f t="shared" si="62"/>
        <v>8.7765567765567765E-2</v>
      </c>
      <c r="M58" s="265">
        <f t="shared" si="62"/>
        <v>0.16877569672600728</v>
      </c>
      <c r="N58" s="254">
        <f t="shared" si="62"/>
        <v>0.14858826543684345</v>
      </c>
      <c r="O58" s="254">
        <f t="shared" si="62"/>
        <v>0.11345977255068163</v>
      </c>
      <c r="P58" s="254">
        <f t="shared" si="62"/>
        <v>0.13810110974106041</v>
      </c>
      <c r="Q58" s="265">
        <f t="shared" si="62"/>
        <v>0.17773814231641474</v>
      </c>
      <c r="R58" s="254">
        <f t="shared" si="62"/>
        <v>0.11207188040195278</v>
      </c>
      <c r="S58" s="254">
        <f t="shared" si="62"/>
        <v>0.11067907188596844</v>
      </c>
      <c r="T58" s="254">
        <f t="shared" si="62"/>
        <v>0.11827973232224051</v>
      </c>
      <c r="U58" s="265">
        <f t="shared" si="62"/>
        <v>0.12748988484282603</v>
      </c>
      <c r="V58" s="254">
        <f t="shared" si="62"/>
        <v>8.3965614393730917E-2</v>
      </c>
      <c r="W58" s="254">
        <f t="shared" si="62"/>
        <v>7.7337904680273559E-2</v>
      </c>
      <c r="X58" s="254">
        <f t="shared" si="62"/>
        <v>7.7616045775057735E-2</v>
      </c>
      <c r="Y58" s="265">
        <f t="shared" si="62"/>
        <v>8.0927438446969702E-2</v>
      </c>
      <c r="Z58" s="254">
        <f t="shared" si="62"/>
        <v>6.1780995699124361E-2</v>
      </c>
      <c r="AA58" s="254">
        <f t="shared" si="62"/>
        <v>5.8883334033525185E-2</v>
      </c>
      <c r="AB58" s="254">
        <f>+AB53/AB57/AVERAGE(AA27:AB27)</f>
        <v>7.1042010904296654E-2</v>
      </c>
      <c r="AC58" s="265">
        <f t="shared" si="62"/>
        <v>7.0147997465198467E-2</v>
      </c>
      <c r="AD58" s="254">
        <f t="shared" si="62"/>
        <v>6.5509416646381213E-2</v>
      </c>
      <c r="AE58" s="254">
        <f t="shared" si="62"/>
        <v>6.0465396672293226E-2</v>
      </c>
      <c r="AF58" s="254">
        <f t="shared" si="62"/>
        <v>7.0477048653376964E-2</v>
      </c>
      <c r="AG58" s="265">
        <f t="shared" si="62"/>
        <v>7.6698588709677412E-2</v>
      </c>
      <c r="AH58" s="254">
        <f t="shared" si="62"/>
        <v>7.2621492128678994E-2</v>
      </c>
      <c r="AI58" s="254">
        <f t="shared" si="62"/>
        <v>6.0599300560633097E-2</v>
      </c>
      <c r="AJ58" s="254">
        <f t="shared" si="62"/>
        <v>7.4454871815340828E-2</v>
      </c>
      <c r="AK58" s="265">
        <f t="shared" si="62"/>
        <v>8.2674293919003883E-2</v>
      </c>
      <c r="AL58" s="254">
        <f t="shared" si="62"/>
        <v>7.3330112054485627E-2</v>
      </c>
      <c r="AN58" s="254">
        <f>+AN53/AN57/AVERAGE(AN27,C27)</f>
        <v>0.10173007728093753</v>
      </c>
      <c r="AO58" s="254">
        <f t="shared" ref="AO58:AV58" si="63">+AO53/AO57/AVERAGE(AN27:AO27)</f>
        <v>8.5011037096364581E-2</v>
      </c>
      <c r="AP58" s="254">
        <f t="shared" si="63"/>
        <v>8.4171307909922014E-2</v>
      </c>
      <c r="AQ58" s="254">
        <f t="shared" si="63"/>
        <v>0.14253495225062809</v>
      </c>
      <c r="AR58" s="254">
        <f t="shared" si="63"/>
        <v>0.13080896119826974</v>
      </c>
      <c r="AS58" s="254">
        <f t="shared" si="63"/>
        <v>9.1481049067244025E-2</v>
      </c>
      <c r="AT58" s="254">
        <f t="shared" si="63"/>
        <v>6.8128625309406735E-2</v>
      </c>
      <c r="AU58" s="254">
        <f t="shared" si="63"/>
        <v>6.6292049889549884E-2</v>
      </c>
      <c r="AV58" s="254">
        <f t="shared" si="63"/>
        <v>7.1033650218801869E-2</v>
      </c>
    </row>
    <row r="59" spans="2:48" x14ac:dyDescent="0.15">
      <c r="B59" s="11" t="s">
        <v>48</v>
      </c>
      <c r="C59" s="248"/>
      <c r="D59" s="248"/>
      <c r="E59" s="263"/>
      <c r="F59" s="248"/>
      <c r="G59" s="248"/>
      <c r="H59" s="248"/>
      <c r="I59" s="263">
        <f t="shared" ref="I59:W59" si="64">+I5/(I53/1000000)</f>
        <v>32.911379391659047</v>
      </c>
      <c r="J59" s="248">
        <f t="shared" si="64"/>
        <v>27.503605830452255</v>
      </c>
      <c r="K59" s="248">
        <f t="shared" si="64"/>
        <v>29.400579741389215</v>
      </c>
      <c r="L59" s="248">
        <f t="shared" si="64"/>
        <v>29.893774675989146</v>
      </c>
      <c r="M59" s="263">
        <f t="shared" si="64"/>
        <v>34.889739197476672</v>
      </c>
      <c r="N59" s="248">
        <f t="shared" si="64"/>
        <v>33.551270600776164</v>
      </c>
      <c r="O59" s="248">
        <f t="shared" si="64"/>
        <v>35.13925635211293</v>
      </c>
      <c r="P59" s="248">
        <f t="shared" si="64"/>
        <v>39.822704701830403</v>
      </c>
      <c r="Q59" s="263">
        <f t="shared" si="64"/>
        <v>49.984624422087634</v>
      </c>
      <c r="R59" s="248">
        <f t="shared" si="64"/>
        <v>38.738457449123857</v>
      </c>
      <c r="S59" s="248">
        <f t="shared" si="64"/>
        <v>35.976433530317877</v>
      </c>
      <c r="T59" s="248">
        <f t="shared" si="64"/>
        <v>36.404685360530074</v>
      </c>
      <c r="U59" s="263">
        <f t="shared" si="64"/>
        <v>39.769862505239473</v>
      </c>
      <c r="V59" s="248">
        <f t="shared" si="64"/>
        <v>32.324345537047336</v>
      </c>
      <c r="W59" s="248">
        <f t="shared" si="64"/>
        <v>35.894052345133247</v>
      </c>
      <c r="X59" s="248">
        <f t="shared" ref="X59:AD59" si="65">+X5/(X53/1000000)</f>
        <v>35.789171151051541</v>
      </c>
      <c r="Y59" s="263">
        <f t="shared" si="65"/>
        <v>38.314935444841012</v>
      </c>
      <c r="Z59" s="248">
        <f t="shared" si="65"/>
        <v>37.307222324191294</v>
      </c>
      <c r="AA59" s="248">
        <f t="shared" si="65"/>
        <v>36.649539886505565</v>
      </c>
      <c r="AB59" s="248">
        <f t="shared" si="65"/>
        <v>35.976881100978247</v>
      </c>
      <c r="AC59" s="263">
        <f t="shared" si="65"/>
        <v>42.728741765384349</v>
      </c>
      <c r="AD59" s="248">
        <f t="shared" si="65"/>
        <v>44.171338870018161</v>
      </c>
      <c r="AE59" s="248">
        <f t="shared" ref="AE59:AG59" si="66">+AE5/(AE53/1000000)</f>
        <v>42.406716720966593</v>
      </c>
      <c r="AF59" s="248">
        <f t="shared" si="66"/>
        <v>50.277014052739041</v>
      </c>
      <c r="AG59" s="263">
        <f t="shared" si="66"/>
        <v>54.539193227683214</v>
      </c>
      <c r="AH59" s="248">
        <f t="shared" ref="AH59:AI59" si="67">+AH5/(AH53/1000000)</f>
        <v>47.702416259450743</v>
      </c>
      <c r="AI59" s="248">
        <f t="shared" si="67"/>
        <v>53.757001774028488</v>
      </c>
      <c r="AJ59" s="248">
        <f t="shared" ref="AJ59:AL59" si="68">+AJ5/(AJ53/1000000)</f>
        <v>54.631979578994454</v>
      </c>
      <c r="AK59" s="263">
        <f t="shared" si="68"/>
        <v>50.737719817114765</v>
      </c>
      <c r="AL59" s="248">
        <f t="shared" si="68"/>
        <v>58.47055618736853</v>
      </c>
      <c r="AN59" s="248">
        <f t="shared" ref="AN59:AS59" si="69">+AN5/(AN53/1000000)</f>
        <v>31.726586264374902</v>
      </c>
      <c r="AO59" s="248">
        <f t="shared" si="69"/>
        <v>35.338080458230465</v>
      </c>
      <c r="AP59" s="248">
        <f t="shared" si="69"/>
        <v>29.965070679117876</v>
      </c>
      <c r="AQ59" s="248">
        <f t="shared" si="69"/>
        <v>35.941496642679105</v>
      </c>
      <c r="AR59" s="248">
        <f t="shared" si="69"/>
        <v>41.007712291324417</v>
      </c>
      <c r="AS59" s="248">
        <f t="shared" si="69"/>
        <v>36.395116068315751</v>
      </c>
      <c r="AT59" s="248">
        <f>+AT5/(AT53/1000000)</f>
        <v>37.101876248665619</v>
      </c>
      <c r="AU59" s="248">
        <f>+AU5/(AU53/1000000)</f>
        <v>45.018875944268864</v>
      </c>
      <c r="AV59" s="248">
        <f>+AV5/(AV53/1000000)</f>
        <v>52.721236167856887</v>
      </c>
    </row>
    <row r="61" spans="2:48"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N61" s="215"/>
      <c r="AO61" s="215"/>
      <c r="AP61" s="215"/>
      <c r="AQ61" s="215"/>
      <c r="AR61" s="215"/>
      <c r="AS61" s="215"/>
      <c r="AT61" s="215"/>
      <c r="AU61" s="215"/>
      <c r="AV61" s="215"/>
    </row>
    <row r="62" spans="2:48"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c r="AL62" s="287"/>
    </row>
    <row r="64" spans="2:48" ht="48" x14ac:dyDescent="0.15">
      <c r="B64" s="242" t="s">
        <v>359</v>
      </c>
    </row>
    <row r="65" spans="2:2" ht="24" x14ac:dyDescent="0.15">
      <c r="B65" s="242" t="s">
        <v>366</v>
      </c>
    </row>
  </sheetData>
  <pageMargins left="0.7" right="0.7" top="0.75" bottom="0.75" header="0.3" footer="0.3"/>
  <pageSetup paperSize="9" orientation="portrait" r:id="rId1"/>
  <ignoredErrors>
    <ignoredError sqref="H34 H32 J60:R60 AM60 AM5:AO5 I5:P5 I19:P19 I11:P13 J10:P10 I15:P15 I14:K14 M14 AP16:AR17 AP18:AS18 AP23:AS25 AP21:AS21 AP20:AR20 AS26:AS28 AP14 AS19 AS9:AS17 AS57:AS59 I57:Y59 Z31:AB33 Z58:AB58 AT9:AT11 AC57:AD59 AE23:AE53 AC12:AE19 AC20:AD21 AU16:AU17 AP5:AU7 AU9:AU14 AT57:AU57 AF31:AI33 AE58:AI58 AC23:AD55 AT53:AU54 Q31:Y55 AS34:AS54 I26:P55 AJ31:AJ33 AK31:AK33 AV5:AV7 AT14:AT17 AV34:AV57 AN56:AU56 AP55:AU55 AJ58:AL58 AL31:AL33 AV9:AV28" formulaRange="1"/>
    <ignoredError sqref="AM14 AO14 AM10:AO13 AM8:AM9 AM18 AP9:AR13 AM19:AR19 AQ14:AR14 AM15:AR15 AM57:AR59 AP8:AV8 AS30:AS33 AT30:AU30 AM26:AR54 AM55 AV29:AV33 AN55:AO55" formula="1" formulaRange="1"/>
    <ignoredError sqref="AT29 AT31:AT32 AU29 AT33:AU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26A-F11A-4617-AE36-C8E0AD6B6117}">
  <sheetPr>
    <tabColor theme="2" tint="-0.89999084444715716"/>
    <pageSetUpPr autoPageBreaks="0"/>
  </sheetPr>
  <dimension ref="A1:DN149"/>
  <sheetViews>
    <sheetView showGridLines="0" zoomScaleNormal="100" workbookViewId="0">
      <pane xSplit="1" ySplit="2" topLeftCell="B3" activePane="bottomRight" state="frozen"/>
      <selection pane="topRight"/>
      <selection pane="bottomLeft"/>
      <selection pane="bottomRight"/>
    </sheetView>
  </sheetViews>
  <sheetFormatPr baseColWidth="10" defaultColWidth="9.1640625" defaultRowHeight="11" x14ac:dyDescent="0.15"/>
  <cols>
    <col min="1" max="1" width="9.1640625" style="223"/>
    <col min="2" max="2" width="58.6640625" style="222" bestFit="1" customWidth="1"/>
    <col min="3" max="3" width="69.33203125" style="233" customWidth="1"/>
    <col min="4" max="4" width="43.5" style="233" customWidth="1"/>
    <col min="5" max="22" width="9.1640625" style="226"/>
    <col min="23" max="23" width="9.5" style="226" bestFit="1" customWidth="1"/>
    <col min="24" max="118" width="9.1640625" style="226"/>
    <col min="119" max="16384" width="9.1640625" style="11"/>
  </cols>
  <sheetData>
    <row r="1" spans="1:118" s="226" customFormat="1" x14ac:dyDescent="0.15">
      <c r="A1" s="223"/>
      <c r="B1" s="225"/>
      <c r="C1" s="231"/>
      <c r="D1" s="231"/>
    </row>
    <row r="2" spans="1:118" x14ac:dyDescent="0.15">
      <c r="B2" s="220" t="s">
        <v>178</v>
      </c>
      <c r="C2" s="220" t="s">
        <v>179</v>
      </c>
      <c r="D2" s="220" t="s">
        <v>180</v>
      </c>
    </row>
    <row r="3" spans="1:118" ht="36" x14ac:dyDescent="0.15">
      <c r="B3" s="232" t="s">
        <v>324</v>
      </c>
      <c r="C3" s="232" t="s">
        <v>326</v>
      </c>
      <c r="D3" s="232" t="s">
        <v>325</v>
      </c>
    </row>
    <row r="4" spans="1:118" ht="36" x14ac:dyDescent="0.15">
      <c r="B4" s="228" t="s">
        <v>312</v>
      </c>
      <c r="C4" s="232" t="s">
        <v>284</v>
      </c>
      <c r="D4" s="232" t="s">
        <v>289</v>
      </c>
    </row>
    <row r="5" spans="1:118" ht="48" x14ac:dyDescent="0.15">
      <c r="B5" s="229" t="s">
        <v>317</v>
      </c>
      <c r="C5" s="232" t="s">
        <v>304</v>
      </c>
      <c r="D5" s="232" t="s">
        <v>314</v>
      </c>
    </row>
    <row r="6" spans="1:118" ht="24" x14ac:dyDescent="0.15">
      <c r="B6" s="229" t="s">
        <v>290</v>
      </c>
      <c r="C6" s="230" t="s">
        <v>267</v>
      </c>
      <c r="D6" s="230" t="s">
        <v>181</v>
      </c>
    </row>
    <row r="7" spans="1:118" s="12" customFormat="1" ht="24" x14ac:dyDescent="0.15">
      <c r="A7" s="224"/>
      <c r="B7" s="229" t="s">
        <v>310</v>
      </c>
      <c r="C7" s="230" t="s">
        <v>266</v>
      </c>
      <c r="D7" s="230" t="s">
        <v>184</v>
      </c>
      <c r="E7" s="226"/>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row>
    <row r="8" spans="1:118" s="12" customFormat="1" ht="24" x14ac:dyDescent="0.15">
      <c r="A8" s="224"/>
      <c r="B8" s="229" t="s">
        <v>172</v>
      </c>
      <c r="C8" s="230" t="s">
        <v>282</v>
      </c>
      <c r="D8" s="230" t="s">
        <v>283</v>
      </c>
      <c r="E8" s="226"/>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row>
    <row r="9" spans="1:118" ht="36" x14ac:dyDescent="0.15">
      <c r="B9" s="229" t="s">
        <v>318</v>
      </c>
      <c r="C9" s="230" t="s">
        <v>182</v>
      </c>
      <c r="D9" s="230" t="s">
        <v>183</v>
      </c>
    </row>
    <row r="10" spans="1:118" ht="24" x14ac:dyDescent="0.15">
      <c r="B10" s="229" t="s">
        <v>25</v>
      </c>
      <c r="C10" s="230" t="s">
        <v>285</v>
      </c>
      <c r="D10" s="230" t="s">
        <v>292</v>
      </c>
    </row>
    <row r="11" spans="1:118" ht="24" x14ac:dyDescent="0.15">
      <c r="B11" s="229" t="s">
        <v>26</v>
      </c>
      <c r="C11" s="230" t="s">
        <v>286</v>
      </c>
      <c r="D11" s="230" t="s">
        <v>293</v>
      </c>
    </row>
    <row r="12" spans="1:118" ht="24" x14ac:dyDescent="0.15">
      <c r="B12" s="229" t="s">
        <v>27</v>
      </c>
      <c r="C12" s="230" t="s">
        <v>287</v>
      </c>
      <c r="D12" s="230" t="s">
        <v>291</v>
      </c>
    </row>
    <row r="13" spans="1:118" ht="36" x14ac:dyDescent="0.15">
      <c r="B13" s="229" t="s">
        <v>275</v>
      </c>
      <c r="C13" s="230" t="s">
        <v>306</v>
      </c>
      <c r="D13" s="230" t="s">
        <v>315</v>
      </c>
    </row>
    <row r="14" spans="1:118" ht="24" x14ac:dyDescent="0.15">
      <c r="B14" s="229" t="s">
        <v>29</v>
      </c>
      <c r="C14" s="230" t="s">
        <v>259</v>
      </c>
      <c r="D14" s="230" t="s">
        <v>296</v>
      </c>
    </row>
    <row r="15" spans="1:118" ht="12" x14ac:dyDescent="0.15">
      <c r="B15" s="229" t="s">
        <v>230</v>
      </c>
      <c r="C15" s="230" t="s">
        <v>231</v>
      </c>
      <c r="D15" s="230" t="s">
        <v>232</v>
      </c>
    </row>
    <row r="16" spans="1:118" ht="12" x14ac:dyDescent="0.15">
      <c r="B16" s="230" t="s">
        <v>185</v>
      </c>
      <c r="C16" s="230" t="s">
        <v>186</v>
      </c>
      <c r="D16" s="230" t="s">
        <v>187</v>
      </c>
    </row>
    <row r="17" spans="2:28" ht="12" x14ac:dyDescent="0.15">
      <c r="B17" s="229" t="s">
        <v>188</v>
      </c>
      <c r="C17" s="230" t="s">
        <v>189</v>
      </c>
      <c r="D17" s="230" t="s">
        <v>190</v>
      </c>
    </row>
    <row r="18" spans="2:28" ht="24" x14ac:dyDescent="0.15">
      <c r="B18" s="230" t="s">
        <v>193</v>
      </c>
      <c r="C18" s="230" t="s">
        <v>194</v>
      </c>
      <c r="D18" s="230" t="s">
        <v>195</v>
      </c>
    </row>
    <row r="19" spans="2:28" ht="12" x14ac:dyDescent="0.15">
      <c r="B19" s="229" t="s">
        <v>196</v>
      </c>
      <c r="C19" s="230" t="s">
        <v>274</v>
      </c>
      <c r="D19" s="230" t="s">
        <v>197</v>
      </c>
    </row>
    <row r="20" spans="2:28" ht="24" x14ac:dyDescent="0.15">
      <c r="B20" s="229" t="s">
        <v>191</v>
      </c>
      <c r="C20" s="230" t="s">
        <v>273</v>
      </c>
      <c r="D20" s="230" t="s">
        <v>192</v>
      </c>
    </row>
    <row r="21" spans="2:28" ht="12" x14ac:dyDescent="0.15">
      <c r="B21" s="229" t="s">
        <v>198</v>
      </c>
      <c r="C21" s="230" t="s">
        <v>199</v>
      </c>
      <c r="D21" s="230" t="s">
        <v>200</v>
      </c>
    </row>
    <row r="22" spans="2:28" ht="12" x14ac:dyDescent="0.15">
      <c r="B22" s="229" t="s">
        <v>31</v>
      </c>
      <c r="C22" s="230" t="s">
        <v>258</v>
      </c>
      <c r="D22" s="230"/>
    </row>
    <row r="23" spans="2:28" ht="24" x14ac:dyDescent="0.15">
      <c r="B23" s="229" t="s">
        <v>201</v>
      </c>
      <c r="C23" s="230" t="s">
        <v>327</v>
      </c>
      <c r="D23" s="230" t="s">
        <v>202</v>
      </c>
      <c r="W23" s="283"/>
      <c r="X23" s="283"/>
      <c r="Y23" s="283"/>
      <c r="Z23" s="283"/>
      <c r="AA23" s="283"/>
      <c r="AB23" s="283"/>
    </row>
    <row r="24" spans="2:28" ht="24" x14ac:dyDescent="0.15">
      <c r="B24" s="229" t="s">
        <v>173</v>
      </c>
      <c r="C24" s="230" t="s">
        <v>256</v>
      </c>
      <c r="D24" s="230" t="s">
        <v>294</v>
      </c>
    </row>
    <row r="25" spans="2:28" ht="12" x14ac:dyDescent="0.15">
      <c r="B25" s="229" t="s">
        <v>278</v>
      </c>
      <c r="C25" s="230" t="s">
        <v>295</v>
      </c>
      <c r="D25" s="230"/>
    </row>
    <row r="26" spans="2:28" ht="12" x14ac:dyDescent="0.15">
      <c r="B26" s="229" t="s">
        <v>30</v>
      </c>
      <c r="C26" s="230" t="s">
        <v>260</v>
      </c>
      <c r="D26" s="230" t="s">
        <v>297</v>
      </c>
    </row>
    <row r="27" spans="2:28" ht="36" x14ac:dyDescent="0.15">
      <c r="B27" s="229" t="s">
        <v>261</v>
      </c>
      <c r="C27" s="230" t="s">
        <v>305</v>
      </c>
      <c r="D27" s="230" t="s">
        <v>238</v>
      </c>
    </row>
    <row r="28" spans="2:28" ht="24" x14ac:dyDescent="0.15">
      <c r="B28" s="229" t="s">
        <v>268</v>
      </c>
      <c r="C28" s="230" t="s">
        <v>276</v>
      </c>
      <c r="D28" s="230" t="s">
        <v>277</v>
      </c>
    </row>
    <row r="29" spans="2:28" ht="24" x14ac:dyDescent="0.15">
      <c r="B29" s="229" t="s">
        <v>205</v>
      </c>
      <c r="C29" s="230" t="s">
        <v>206</v>
      </c>
      <c r="D29" s="230" t="s">
        <v>207</v>
      </c>
    </row>
    <row r="30" spans="2:28" ht="36" x14ac:dyDescent="0.15">
      <c r="B30" s="230" t="s">
        <v>208</v>
      </c>
      <c r="C30" s="230" t="s">
        <v>209</v>
      </c>
      <c r="D30" s="230" t="s">
        <v>210</v>
      </c>
    </row>
    <row r="31" spans="2:28" ht="24" x14ac:dyDescent="0.15">
      <c r="B31" s="229" t="s">
        <v>211</v>
      </c>
      <c r="C31" s="230" t="s">
        <v>212</v>
      </c>
      <c r="D31" s="230" t="s">
        <v>213</v>
      </c>
    </row>
    <row r="32" spans="2:28" ht="12" x14ac:dyDescent="0.15">
      <c r="B32" s="229" t="s">
        <v>203</v>
      </c>
      <c r="C32" s="230" t="s">
        <v>280</v>
      </c>
      <c r="D32" s="230" t="s">
        <v>204</v>
      </c>
    </row>
    <row r="33" spans="1:118" s="12" customFormat="1" ht="12" x14ac:dyDescent="0.15">
      <c r="A33" s="223"/>
      <c r="B33" s="229" t="s">
        <v>48</v>
      </c>
      <c r="C33" s="230" t="s">
        <v>254</v>
      </c>
      <c r="D33" s="230" t="s">
        <v>298</v>
      </c>
      <c r="E33" s="226"/>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row>
    <row r="34" spans="1:118" ht="24" x14ac:dyDescent="0.15">
      <c r="B34" s="229" t="s">
        <v>52</v>
      </c>
      <c r="C34" s="230" t="s">
        <v>255</v>
      </c>
      <c r="D34" s="230" t="s">
        <v>299</v>
      </c>
    </row>
    <row r="35" spans="1:118" ht="12" x14ac:dyDescent="0.15">
      <c r="B35" s="229" t="s">
        <v>3</v>
      </c>
      <c r="C35" s="230" t="s">
        <v>370</v>
      </c>
      <c r="D35" s="230"/>
    </row>
    <row r="36" spans="1:118" ht="36" x14ac:dyDescent="0.15">
      <c r="B36" s="229" t="s">
        <v>345</v>
      </c>
      <c r="C36" s="230" t="s">
        <v>371</v>
      </c>
      <c r="D36" s="230"/>
    </row>
    <row r="37" spans="1:118" ht="12" x14ac:dyDescent="0.15">
      <c r="B37" s="229" t="s">
        <v>347</v>
      </c>
      <c r="C37" s="230" t="s">
        <v>348</v>
      </c>
      <c r="D37" s="230"/>
    </row>
    <row r="38" spans="1:118" ht="24" x14ac:dyDescent="0.15">
      <c r="B38" s="229" t="s">
        <v>2</v>
      </c>
      <c r="C38" s="230" t="s">
        <v>372</v>
      </c>
      <c r="D38" s="230"/>
    </row>
    <row r="39" spans="1:118" ht="36" x14ac:dyDescent="0.15">
      <c r="B39" s="229" t="s">
        <v>344</v>
      </c>
      <c r="C39" s="230" t="s">
        <v>373</v>
      </c>
      <c r="D39" s="230"/>
    </row>
    <row r="40" spans="1:118" ht="24" x14ac:dyDescent="0.15">
      <c r="B40" s="229" t="s">
        <v>214</v>
      </c>
      <c r="C40" s="230" t="s">
        <v>215</v>
      </c>
      <c r="D40" s="230" t="s">
        <v>216</v>
      </c>
    </row>
    <row r="41" spans="1:118" ht="24" x14ac:dyDescent="0.15">
      <c r="B41" s="229" t="s">
        <v>1</v>
      </c>
      <c r="C41" s="230" t="s">
        <v>374</v>
      </c>
      <c r="D41" s="230"/>
    </row>
    <row r="42" spans="1:118" ht="24" x14ac:dyDescent="0.15">
      <c r="B42" s="229" t="s">
        <v>251</v>
      </c>
      <c r="C42" s="230" t="s">
        <v>252</v>
      </c>
      <c r="D42" s="230" t="s">
        <v>300</v>
      </c>
    </row>
    <row r="43" spans="1:118" ht="36" x14ac:dyDescent="0.15">
      <c r="B43" s="229" t="s">
        <v>23</v>
      </c>
      <c r="C43" s="230" t="s">
        <v>392</v>
      </c>
      <c r="D43" s="230" t="s">
        <v>217</v>
      </c>
    </row>
    <row r="44" spans="1:118" ht="24" x14ac:dyDescent="0.15">
      <c r="B44" s="229" t="s">
        <v>281</v>
      </c>
      <c r="C44" s="230" t="s">
        <v>218</v>
      </c>
      <c r="D44" s="230" t="s">
        <v>219</v>
      </c>
    </row>
    <row r="45" spans="1:118" s="226" customFormat="1" ht="24" x14ac:dyDescent="0.15">
      <c r="A45" s="223"/>
      <c r="B45" s="229" t="s">
        <v>43</v>
      </c>
      <c r="C45" s="230" t="s">
        <v>220</v>
      </c>
      <c r="D45" s="230" t="s">
        <v>221</v>
      </c>
    </row>
    <row r="46" spans="1:118" s="226" customFormat="1" ht="24" x14ac:dyDescent="0.15">
      <c r="A46" s="223"/>
      <c r="B46" s="229" t="s">
        <v>244</v>
      </c>
      <c r="C46" s="230" t="s">
        <v>320</v>
      </c>
      <c r="D46" s="230" t="s">
        <v>321</v>
      </c>
    </row>
    <row r="47" spans="1:118" s="226" customFormat="1" ht="24" x14ac:dyDescent="0.15">
      <c r="A47" s="223"/>
      <c r="B47" s="229" t="s">
        <v>222</v>
      </c>
      <c r="C47" s="230" t="s">
        <v>223</v>
      </c>
      <c r="D47" s="230" t="s">
        <v>224</v>
      </c>
    </row>
    <row r="48" spans="1:118" s="226" customFormat="1" ht="12" x14ac:dyDescent="0.15">
      <c r="A48" s="223"/>
      <c r="B48" s="229" t="s">
        <v>225</v>
      </c>
      <c r="C48" s="230" t="s">
        <v>226</v>
      </c>
      <c r="D48" s="230" t="s">
        <v>227</v>
      </c>
    </row>
    <row r="49" spans="1:4" s="226" customFormat="1" ht="24" x14ac:dyDescent="0.15">
      <c r="A49" s="223"/>
      <c r="B49" s="229" t="s">
        <v>55</v>
      </c>
      <c r="C49" s="230" t="s">
        <v>228</v>
      </c>
      <c r="D49" s="230" t="s">
        <v>229</v>
      </c>
    </row>
    <row r="50" spans="1:4" s="226" customFormat="1" ht="12" x14ac:dyDescent="0.15">
      <c r="A50" s="223"/>
      <c r="B50" s="229" t="s">
        <v>4</v>
      </c>
      <c r="C50" s="230" t="s">
        <v>375</v>
      </c>
      <c r="D50" s="230"/>
    </row>
    <row r="51" spans="1:4" s="226" customFormat="1" ht="24" x14ac:dyDescent="0.15">
      <c r="A51" s="223"/>
      <c r="B51" s="229" t="s">
        <v>233</v>
      </c>
      <c r="C51" s="230" t="s">
        <v>234</v>
      </c>
      <c r="D51" s="230" t="s">
        <v>235</v>
      </c>
    </row>
    <row r="52" spans="1:4" s="226" customFormat="1" ht="24" x14ac:dyDescent="0.15">
      <c r="A52" s="223"/>
      <c r="B52" s="229" t="s">
        <v>56</v>
      </c>
      <c r="C52" s="230" t="s">
        <v>236</v>
      </c>
      <c r="D52" s="230" t="s">
        <v>237</v>
      </c>
    </row>
    <row r="53" spans="1:4" s="226" customFormat="1" ht="60" x14ac:dyDescent="0.15">
      <c r="A53" s="223"/>
      <c r="B53" s="229" t="s">
        <v>319</v>
      </c>
      <c r="C53" s="230" t="s">
        <v>337</v>
      </c>
      <c r="D53" s="230" t="s">
        <v>316</v>
      </c>
    </row>
    <row r="54" spans="1:4" s="226" customFormat="1" ht="48" x14ac:dyDescent="0.15">
      <c r="A54" s="223"/>
      <c r="B54" s="230" t="s">
        <v>239</v>
      </c>
      <c r="C54" s="230" t="s">
        <v>336</v>
      </c>
      <c r="D54" s="230" t="s">
        <v>240</v>
      </c>
    </row>
    <row r="55" spans="1:4" s="226" customFormat="1" ht="24" x14ac:dyDescent="0.15">
      <c r="A55" s="223"/>
      <c r="B55" s="229" t="s">
        <v>241</v>
      </c>
      <c r="C55" s="230" t="s">
        <v>242</v>
      </c>
      <c r="D55" s="230" t="s">
        <v>243</v>
      </c>
    </row>
    <row r="56" spans="1:4" s="226" customFormat="1" ht="24" x14ac:dyDescent="0.15">
      <c r="A56" s="223"/>
      <c r="B56" s="229" t="s">
        <v>177</v>
      </c>
      <c r="C56" s="230" t="s">
        <v>253</v>
      </c>
      <c r="D56" s="230" t="s">
        <v>301</v>
      </c>
    </row>
    <row r="57" spans="1:4" s="226" customFormat="1" ht="12" x14ac:dyDescent="0.15">
      <c r="A57" s="223"/>
      <c r="B57" s="229" t="s">
        <v>248</v>
      </c>
      <c r="C57" s="230" t="s">
        <v>249</v>
      </c>
      <c r="D57" s="230" t="s">
        <v>250</v>
      </c>
    </row>
    <row r="58" spans="1:4" s="226" customFormat="1" ht="12" x14ac:dyDescent="0.15">
      <c r="A58" s="223"/>
      <c r="B58" s="229" t="s">
        <v>245</v>
      </c>
      <c r="C58" s="230" t="s">
        <v>246</v>
      </c>
      <c r="D58" s="230" t="s">
        <v>247</v>
      </c>
    </row>
    <row r="59" spans="1:4" s="226" customFormat="1" ht="12" x14ac:dyDescent="0.15">
      <c r="A59" s="223"/>
      <c r="B59" s="229" t="s">
        <v>51</v>
      </c>
      <c r="C59" s="230" t="s">
        <v>257</v>
      </c>
      <c r="D59" s="230" t="s">
        <v>302</v>
      </c>
    </row>
    <row r="60" spans="1:4" s="226" customFormat="1" x14ac:dyDescent="0.15">
      <c r="A60" s="223"/>
      <c r="B60" s="223"/>
      <c r="C60" s="223"/>
      <c r="D60" s="223"/>
    </row>
    <row r="61" spans="1:4" s="226" customFormat="1" x14ac:dyDescent="0.15">
      <c r="A61" s="223"/>
      <c r="B61" s="223"/>
      <c r="C61" s="223"/>
      <c r="D61" s="223"/>
    </row>
    <row r="62" spans="1:4" s="226" customFormat="1" x14ac:dyDescent="0.15">
      <c r="A62" s="223"/>
      <c r="B62" s="223"/>
      <c r="C62" s="223"/>
      <c r="D62" s="223"/>
    </row>
    <row r="63" spans="1:4" s="226" customFormat="1" x14ac:dyDescent="0.15">
      <c r="A63" s="223"/>
      <c r="B63" s="223"/>
      <c r="C63" s="223"/>
      <c r="D63" s="223"/>
    </row>
    <row r="64" spans="1:4" s="224" customFormat="1" x14ac:dyDescent="0.15">
      <c r="A64" s="223"/>
      <c r="B64" s="223"/>
      <c r="C64" s="223"/>
      <c r="D64" s="223"/>
    </row>
    <row r="65" spans="1:4" s="226" customFormat="1" x14ac:dyDescent="0.15">
      <c r="A65" s="223"/>
      <c r="B65" s="223"/>
      <c r="C65" s="223"/>
      <c r="D65" s="223"/>
    </row>
    <row r="66" spans="1:4" s="226" customFormat="1" x14ac:dyDescent="0.15">
      <c r="A66" s="223"/>
      <c r="B66" s="223"/>
      <c r="C66" s="223"/>
      <c r="D66" s="223"/>
    </row>
    <row r="67" spans="1:4" s="226" customFormat="1" x14ac:dyDescent="0.15">
      <c r="A67" s="223"/>
      <c r="B67" s="223"/>
      <c r="C67" s="223"/>
      <c r="D67" s="223"/>
    </row>
    <row r="68" spans="1:4" s="226" customFormat="1" x14ac:dyDescent="0.15">
      <c r="A68" s="223"/>
      <c r="B68" s="223"/>
      <c r="C68" s="223"/>
      <c r="D68" s="223"/>
    </row>
    <row r="69" spans="1:4" s="226" customFormat="1" x14ac:dyDescent="0.15">
      <c r="A69" s="223"/>
      <c r="B69" s="223"/>
      <c r="C69" s="223"/>
      <c r="D69" s="223"/>
    </row>
    <row r="70" spans="1:4" s="226" customFormat="1" x14ac:dyDescent="0.15">
      <c r="A70" s="223"/>
      <c r="B70" s="223"/>
      <c r="C70" s="223"/>
      <c r="D70" s="223"/>
    </row>
    <row r="71" spans="1:4" s="226" customFormat="1" x14ac:dyDescent="0.15">
      <c r="A71" s="223"/>
      <c r="B71" s="223"/>
      <c r="C71" s="223"/>
      <c r="D71" s="223"/>
    </row>
    <row r="72" spans="1:4" s="224" customFormat="1" x14ac:dyDescent="0.15">
      <c r="A72" s="223"/>
      <c r="B72" s="223"/>
      <c r="C72" s="223"/>
      <c r="D72" s="223"/>
    </row>
    <row r="73" spans="1:4" s="226" customFormat="1" x14ac:dyDescent="0.15">
      <c r="A73" s="223"/>
      <c r="B73" s="223"/>
      <c r="C73" s="223"/>
      <c r="D73" s="223"/>
    </row>
    <row r="74" spans="1:4" s="226" customFormat="1" x14ac:dyDescent="0.15">
      <c r="A74" s="223"/>
      <c r="B74" s="223"/>
      <c r="C74" s="223"/>
      <c r="D74" s="223"/>
    </row>
    <row r="75" spans="1:4" s="226" customFormat="1" x14ac:dyDescent="0.15">
      <c r="A75" s="223"/>
      <c r="B75" s="223"/>
      <c r="C75" s="223"/>
      <c r="D75" s="223"/>
    </row>
    <row r="76" spans="1:4" s="226" customFormat="1" x14ac:dyDescent="0.15">
      <c r="A76" s="223"/>
      <c r="B76" s="223"/>
      <c r="C76" s="223"/>
      <c r="D76" s="223"/>
    </row>
    <row r="77" spans="1:4" s="226" customFormat="1" x14ac:dyDescent="0.15">
      <c r="A77" s="223"/>
      <c r="B77" s="223"/>
      <c r="C77" s="223"/>
      <c r="D77" s="223"/>
    </row>
    <row r="78" spans="1:4" s="226" customFormat="1" x14ac:dyDescent="0.15">
      <c r="A78" s="223"/>
      <c r="B78" s="223"/>
      <c r="C78" s="223"/>
      <c r="D78" s="223"/>
    </row>
    <row r="79" spans="1:4" s="226" customFormat="1" x14ac:dyDescent="0.15">
      <c r="A79" s="223"/>
      <c r="B79" s="223"/>
      <c r="C79" s="223"/>
      <c r="D79" s="223"/>
    </row>
    <row r="80" spans="1:4" s="226" customFormat="1" x14ac:dyDescent="0.15">
      <c r="A80" s="223"/>
      <c r="B80" s="223"/>
      <c r="C80" s="223"/>
      <c r="D80" s="223"/>
    </row>
    <row r="81" spans="1:4" s="226" customFormat="1" x14ac:dyDescent="0.15">
      <c r="A81" s="223"/>
      <c r="B81" s="223"/>
      <c r="C81" s="223"/>
      <c r="D81" s="223"/>
    </row>
    <row r="82" spans="1:4" s="226" customFormat="1" x14ac:dyDescent="0.15">
      <c r="A82" s="223"/>
      <c r="B82" s="223"/>
      <c r="C82" s="223"/>
      <c r="D82" s="223"/>
    </row>
    <row r="83" spans="1:4" s="226" customFormat="1" x14ac:dyDescent="0.15">
      <c r="A83" s="223"/>
      <c r="B83" s="223"/>
      <c r="C83" s="223"/>
      <c r="D83" s="223"/>
    </row>
    <row r="84" spans="1:4" s="226" customFormat="1" x14ac:dyDescent="0.15">
      <c r="A84" s="223"/>
      <c r="B84" s="223"/>
      <c r="C84" s="223"/>
      <c r="D84" s="223"/>
    </row>
    <row r="85" spans="1:4" s="226" customFormat="1" x14ac:dyDescent="0.15">
      <c r="A85" s="223"/>
      <c r="B85" s="223"/>
      <c r="C85" s="223"/>
      <c r="D85" s="223"/>
    </row>
    <row r="86" spans="1:4" s="226" customFormat="1" x14ac:dyDescent="0.15">
      <c r="A86" s="223"/>
      <c r="B86" s="223"/>
      <c r="C86" s="223"/>
      <c r="D86" s="223"/>
    </row>
    <row r="87" spans="1:4" s="226" customFormat="1" x14ac:dyDescent="0.15">
      <c r="A87" s="223"/>
      <c r="B87" s="223"/>
      <c r="C87" s="223"/>
      <c r="D87" s="223"/>
    </row>
    <row r="88" spans="1:4" s="226" customFormat="1" x14ac:dyDescent="0.15">
      <c r="A88" s="223"/>
      <c r="B88" s="223"/>
      <c r="C88" s="223"/>
      <c r="D88" s="223"/>
    </row>
    <row r="89" spans="1:4" s="226" customFormat="1" x14ac:dyDescent="0.15">
      <c r="A89" s="223"/>
      <c r="B89" s="223"/>
      <c r="C89" s="223"/>
      <c r="D89" s="223"/>
    </row>
    <row r="90" spans="1:4" s="226" customFormat="1" x14ac:dyDescent="0.15">
      <c r="A90" s="223"/>
      <c r="B90" s="223"/>
      <c r="C90" s="223"/>
      <c r="D90" s="223"/>
    </row>
    <row r="91" spans="1:4" s="226" customFormat="1" x14ac:dyDescent="0.15">
      <c r="A91" s="223"/>
      <c r="B91" s="223"/>
      <c r="C91" s="223"/>
      <c r="D91" s="223"/>
    </row>
    <row r="92" spans="1:4" s="226" customFormat="1" x14ac:dyDescent="0.15">
      <c r="A92" s="223"/>
      <c r="B92" s="223"/>
      <c r="C92" s="223"/>
      <c r="D92" s="223"/>
    </row>
    <row r="93" spans="1:4" s="226" customFormat="1" x14ac:dyDescent="0.15">
      <c r="A93" s="223"/>
      <c r="B93" s="223"/>
      <c r="C93" s="223"/>
      <c r="D93" s="223"/>
    </row>
    <row r="94" spans="1:4" s="226" customFormat="1" x14ac:dyDescent="0.15">
      <c r="A94" s="223"/>
      <c r="B94" s="223"/>
      <c r="C94" s="223"/>
      <c r="D94" s="223"/>
    </row>
    <row r="95" spans="1:4" s="226" customFormat="1" x14ac:dyDescent="0.15">
      <c r="A95" s="223"/>
      <c r="B95" s="223"/>
      <c r="C95" s="223"/>
      <c r="D95" s="223"/>
    </row>
    <row r="96" spans="1:4" s="226" customFormat="1" x14ac:dyDescent="0.15">
      <c r="A96" s="223"/>
      <c r="B96" s="223"/>
      <c r="C96" s="223"/>
      <c r="D96" s="223"/>
    </row>
    <row r="97" spans="1:4" s="226" customFormat="1" x14ac:dyDescent="0.15">
      <c r="A97" s="223"/>
      <c r="B97" s="223"/>
      <c r="C97" s="223"/>
      <c r="D97" s="223"/>
    </row>
    <row r="98" spans="1:4" s="226" customFormat="1" x14ac:dyDescent="0.15">
      <c r="A98" s="223"/>
      <c r="B98" s="223"/>
      <c r="C98" s="223"/>
      <c r="D98" s="223"/>
    </row>
    <row r="99" spans="1:4" s="226" customFormat="1" x14ac:dyDescent="0.15">
      <c r="A99" s="223"/>
      <c r="B99" s="223"/>
      <c r="C99" s="223"/>
      <c r="D99" s="223"/>
    </row>
    <row r="100" spans="1:4" s="226" customFormat="1" x14ac:dyDescent="0.15">
      <c r="A100" s="223"/>
      <c r="B100" s="223"/>
      <c r="C100" s="223"/>
      <c r="D100" s="223"/>
    </row>
    <row r="101" spans="1:4" s="226" customFormat="1" x14ac:dyDescent="0.15">
      <c r="A101" s="223"/>
      <c r="B101" s="223"/>
      <c r="C101" s="223"/>
      <c r="D101" s="223"/>
    </row>
    <row r="102" spans="1:4" s="226" customFormat="1" x14ac:dyDescent="0.15">
      <c r="A102" s="223"/>
      <c r="B102" s="223"/>
      <c r="C102" s="223"/>
      <c r="D102" s="223"/>
    </row>
    <row r="103" spans="1:4" s="226" customFormat="1" x14ac:dyDescent="0.15">
      <c r="A103" s="223"/>
      <c r="B103" s="223"/>
      <c r="C103" s="223"/>
      <c r="D103" s="223"/>
    </row>
    <row r="104" spans="1:4" s="226" customFormat="1" x14ac:dyDescent="0.15">
      <c r="A104" s="223"/>
      <c r="B104" s="223"/>
      <c r="C104" s="223"/>
      <c r="D104" s="223"/>
    </row>
    <row r="105" spans="1:4" s="226" customFormat="1" x14ac:dyDescent="0.15">
      <c r="A105" s="223"/>
      <c r="B105" s="223"/>
      <c r="C105" s="223"/>
      <c r="D105" s="223"/>
    </row>
    <row r="106" spans="1:4" s="226" customFormat="1" x14ac:dyDescent="0.15">
      <c r="A106" s="223"/>
      <c r="B106" s="223"/>
      <c r="C106" s="223"/>
      <c r="D106" s="223"/>
    </row>
    <row r="107" spans="1:4" s="226" customFormat="1" x14ac:dyDescent="0.15">
      <c r="A107" s="223"/>
      <c r="B107" s="223"/>
      <c r="C107" s="223"/>
      <c r="D107" s="223"/>
    </row>
    <row r="108" spans="1:4" s="226" customFormat="1" x14ac:dyDescent="0.15">
      <c r="A108" s="223"/>
      <c r="B108" s="223"/>
      <c r="C108" s="223"/>
      <c r="D108" s="223"/>
    </row>
    <row r="109" spans="1:4" s="226" customFormat="1" x14ac:dyDescent="0.15">
      <c r="A109" s="223"/>
      <c r="B109" s="223"/>
      <c r="C109" s="223"/>
      <c r="D109" s="223"/>
    </row>
    <row r="110" spans="1:4" s="226" customFormat="1" x14ac:dyDescent="0.15">
      <c r="A110" s="223"/>
      <c r="B110" s="223"/>
      <c r="C110" s="223"/>
      <c r="D110" s="223"/>
    </row>
    <row r="111" spans="1:4" s="226" customFormat="1" x14ac:dyDescent="0.15">
      <c r="A111" s="223"/>
      <c r="B111" s="223"/>
      <c r="C111" s="223"/>
      <c r="D111" s="223"/>
    </row>
    <row r="112" spans="1:4" s="226" customFormat="1" x14ac:dyDescent="0.15">
      <c r="A112" s="223"/>
      <c r="B112" s="223"/>
      <c r="C112" s="223"/>
      <c r="D112" s="223"/>
    </row>
    <row r="113" spans="1:18" s="226" customFormat="1" x14ac:dyDescent="0.15">
      <c r="A113" s="223"/>
      <c r="B113" s="223"/>
      <c r="C113" s="223"/>
      <c r="D113" s="223"/>
    </row>
    <row r="114" spans="1:18" s="226" customFormat="1" x14ac:dyDescent="0.15">
      <c r="A114" s="223"/>
      <c r="B114" s="223"/>
      <c r="C114" s="223"/>
      <c r="D114" s="223"/>
    </row>
    <row r="115" spans="1:18" s="226" customFormat="1" x14ac:dyDescent="0.15">
      <c r="A115" s="223"/>
      <c r="B115" s="223"/>
      <c r="C115" s="223"/>
      <c r="D115" s="223"/>
    </row>
    <row r="116" spans="1:18" s="226" customFormat="1" x14ac:dyDescent="0.15">
      <c r="A116" s="223"/>
      <c r="B116" s="223"/>
      <c r="C116" s="223"/>
      <c r="D116" s="223"/>
    </row>
    <row r="117" spans="1:18" s="226" customFormat="1" x14ac:dyDescent="0.15">
      <c r="A117" s="223"/>
      <c r="B117" s="223"/>
      <c r="C117" s="223"/>
      <c r="D117" s="223"/>
    </row>
    <row r="118" spans="1:18" s="226" customFormat="1" x14ac:dyDescent="0.15">
      <c r="A118" s="223"/>
      <c r="B118" s="223"/>
      <c r="C118" s="223"/>
      <c r="D118" s="223"/>
    </row>
    <row r="119" spans="1:18" s="226" customFormat="1" x14ac:dyDescent="0.15">
      <c r="A119" s="223"/>
      <c r="B119" s="223"/>
      <c r="C119" s="223"/>
      <c r="D119" s="223"/>
    </row>
    <row r="120" spans="1:18" s="226" customFormat="1" x14ac:dyDescent="0.15">
      <c r="A120" s="223"/>
      <c r="B120" s="223"/>
      <c r="C120" s="223"/>
      <c r="D120" s="223"/>
    </row>
    <row r="121" spans="1:18" s="226" customFormat="1" x14ac:dyDescent="0.15">
      <c r="A121" s="223"/>
      <c r="B121" s="223"/>
      <c r="C121" s="223"/>
      <c r="D121" s="223"/>
    </row>
    <row r="122" spans="1:18" s="226" customFormat="1" x14ac:dyDescent="0.15">
      <c r="A122" s="223"/>
      <c r="B122" s="223"/>
      <c r="C122" s="223"/>
      <c r="D122" s="223"/>
    </row>
    <row r="123" spans="1:18" s="226" customFormat="1" x14ac:dyDescent="0.15">
      <c r="A123" s="223"/>
      <c r="B123" s="223"/>
      <c r="C123" s="223"/>
      <c r="D123" s="223"/>
    </row>
    <row r="124" spans="1:18" s="226" customFormat="1" x14ac:dyDescent="0.15">
      <c r="A124" s="223"/>
      <c r="B124" s="223"/>
      <c r="C124" s="223"/>
      <c r="D124" s="223"/>
    </row>
    <row r="125" spans="1:18" s="226" customFormat="1" x14ac:dyDescent="0.15">
      <c r="A125" s="223"/>
      <c r="B125" s="223"/>
      <c r="C125" s="223"/>
      <c r="D125" s="223"/>
    </row>
    <row r="126" spans="1:18" s="226" customFormat="1" x14ac:dyDescent="0.15">
      <c r="A126" s="223"/>
      <c r="B126" s="223"/>
      <c r="C126" s="223"/>
      <c r="D126" s="223"/>
    </row>
    <row r="127" spans="1:18" s="227" customFormat="1" x14ac:dyDescent="0.15">
      <c r="A127" s="223"/>
      <c r="B127" s="223"/>
      <c r="C127" s="223"/>
      <c r="D127" s="223"/>
      <c r="E127" s="226"/>
      <c r="F127" s="226"/>
      <c r="G127" s="226"/>
      <c r="H127" s="226"/>
      <c r="I127" s="226"/>
      <c r="J127" s="226"/>
      <c r="K127" s="226"/>
      <c r="L127" s="226"/>
      <c r="M127" s="226"/>
      <c r="N127" s="226"/>
      <c r="O127" s="226"/>
      <c r="P127" s="226"/>
      <c r="Q127" s="226"/>
      <c r="R127" s="226"/>
    </row>
    <row r="128" spans="1:18" s="227" customFormat="1" x14ac:dyDescent="0.15">
      <c r="A128" s="223"/>
      <c r="B128" s="223"/>
      <c r="C128" s="223"/>
      <c r="D128" s="223"/>
      <c r="E128" s="226"/>
      <c r="F128" s="226"/>
      <c r="G128" s="226"/>
      <c r="H128" s="226"/>
      <c r="I128" s="226"/>
      <c r="J128" s="226"/>
      <c r="K128" s="226"/>
      <c r="L128" s="226"/>
      <c r="M128" s="226"/>
      <c r="N128" s="226"/>
      <c r="O128" s="226"/>
      <c r="P128" s="226"/>
      <c r="Q128" s="226"/>
      <c r="R128" s="226"/>
    </row>
    <row r="129" spans="1:4" s="226" customFormat="1" x14ac:dyDescent="0.15">
      <c r="A129" s="223"/>
      <c r="B129" s="223"/>
      <c r="C129" s="223"/>
      <c r="D129" s="223"/>
    </row>
    <row r="130" spans="1:4" s="226" customFormat="1" x14ac:dyDescent="0.15">
      <c r="A130" s="223"/>
      <c r="B130" s="223"/>
      <c r="C130" s="223"/>
      <c r="D130" s="223"/>
    </row>
    <row r="131" spans="1:4" s="226" customFormat="1" x14ac:dyDescent="0.15">
      <c r="A131" s="223"/>
      <c r="B131" s="223"/>
      <c r="C131" s="223"/>
      <c r="D131" s="223"/>
    </row>
    <row r="132" spans="1:4" s="226" customFormat="1" x14ac:dyDescent="0.15">
      <c r="A132" s="223"/>
      <c r="B132" s="223"/>
      <c r="C132" s="223"/>
      <c r="D132" s="223"/>
    </row>
    <row r="133" spans="1:4" s="226" customFormat="1" x14ac:dyDescent="0.15">
      <c r="A133" s="223"/>
      <c r="B133" s="223"/>
      <c r="C133" s="223"/>
      <c r="D133" s="223"/>
    </row>
    <row r="134" spans="1:4" s="226" customFormat="1" x14ac:dyDescent="0.15">
      <c r="A134" s="223"/>
      <c r="B134" s="223"/>
      <c r="C134" s="223"/>
      <c r="D134" s="223"/>
    </row>
    <row r="135" spans="1:4" s="226" customFormat="1" x14ac:dyDescent="0.15">
      <c r="A135" s="223"/>
      <c r="B135" s="223"/>
      <c r="C135" s="223"/>
      <c r="D135" s="223"/>
    </row>
    <row r="136" spans="1:4" s="226" customFormat="1" x14ac:dyDescent="0.15">
      <c r="A136" s="223"/>
      <c r="B136" s="223"/>
      <c r="C136" s="223"/>
      <c r="D136" s="223"/>
    </row>
    <row r="137" spans="1:4" s="226" customFormat="1" x14ac:dyDescent="0.15">
      <c r="A137" s="223"/>
      <c r="B137" s="223"/>
      <c r="C137" s="223"/>
      <c r="D137" s="223"/>
    </row>
    <row r="138" spans="1:4" x14ac:dyDescent="0.15">
      <c r="B138" s="221"/>
      <c r="C138" s="221"/>
      <c r="D138" s="221"/>
    </row>
    <row r="139" spans="1:4" x14ac:dyDescent="0.15">
      <c r="B139" s="221"/>
      <c r="C139" s="221"/>
      <c r="D139" s="221"/>
    </row>
    <row r="140" spans="1:4" x14ac:dyDescent="0.15">
      <c r="B140" s="221"/>
      <c r="C140" s="221"/>
      <c r="D140" s="221"/>
    </row>
    <row r="141" spans="1:4" x14ac:dyDescent="0.15">
      <c r="B141" s="221"/>
      <c r="C141" s="221"/>
      <c r="D141" s="221"/>
    </row>
    <row r="142" spans="1:4" x14ac:dyDescent="0.15">
      <c r="B142" s="221"/>
      <c r="C142" s="221"/>
      <c r="D142" s="221"/>
    </row>
    <row r="143" spans="1:4" x14ac:dyDescent="0.15">
      <c r="B143" s="221"/>
      <c r="C143" s="221"/>
      <c r="D143" s="221"/>
    </row>
    <row r="144" spans="1:4" x14ac:dyDescent="0.15">
      <c r="B144" s="221"/>
      <c r="C144" s="221"/>
      <c r="D144" s="221"/>
    </row>
    <row r="145" spans="2:4" x14ac:dyDescent="0.15">
      <c r="B145" s="221"/>
      <c r="C145" s="221"/>
      <c r="D145" s="221"/>
    </row>
    <row r="146" spans="2:4" x14ac:dyDescent="0.15">
      <c r="B146" s="221"/>
      <c r="C146" s="221"/>
      <c r="D146" s="221"/>
    </row>
    <row r="147" spans="2:4" x14ac:dyDescent="0.15">
      <c r="B147" s="221"/>
      <c r="C147" s="221"/>
      <c r="D147" s="221"/>
    </row>
    <row r="148" spans="2:4" x14ac:dyDescent="0.15">
      <c r="B148" s="221"/>
      <c r="C148" s="221"/>
      <c r="D148" s="221"/>
    </row>
    <row r="149" spans="2:4" x14ac:dyDescent="0.15">
      <c r="B149" s="221"/>
      <c r="C149" s="221"/>
      <c r="D149" s="2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pageSetUpPr autoPageBreaks="0"/>
  </sheetPr>
  <dimension ref="A1:CL143"/>
  <sheetViews>
    <sheetView zoomScale="115" zoomScaleNormal="115" workbookViewId="0">
      <pane xSplit="1" ySplit="3" topLeftCell="BV4" activePane="bottomRight" state="frozen"/>
      <selection pane="topRight" activeCell="B1" sqref="B1"/>
      <selection pane="bottomLeft" activeCell="A4" sqref="A4"/>
      <selection pane="bottomRight" activeCell="BY29" sqref="BY29"/>
    </sheetView>
  </sheetViews>
  <sheetFormatPr baseColWidth="10" defaultColWidth="9.1640625" defaultRowHeight="11" x14ac:dyDescent="0.15"/>
  <cols>
    <col min="1" max="1" width="53.5" style="33" customWidth="1"/>
    <col min="2" max="54" width="11.5" style="33" customWidth="1"/>
    <col min="55" max="71" width="11.5" style="35" customWidth="1"/>
    <col min="72" max="85" width="12" style="33" customWidth="1"/>
    <col min="86" max="88" width="12.5" style="33" customWidth="1"/>
    <col min="89" max="89" width="10" style="11" bestFit="1" customWidth="1"/>
    <col min="90" max="16384" width="9.1640625" style="33"/>
  </cols>
  <sheetData>
    <row r="1" spans="1:89" s="21" customFormat="1" ht="75.75" customHeight="1" x14ac:dyDescent="0.15">
      <c r="AX1" s="22"/>
      <c r="AY1" s="22"/>
      <c r="AZ1" s="22"/>
      <c r="BA1" s="22"/>
      <c r="BB1" s="23"/>
      <c r="BC1" s="23"/>
      <c r="BD1" s="23"/>
      <c r="BE1" s="23"/>
      <c r="BF1" s="23"/>
      <c r="BG1" s="23"/>
      <c r="BH1" s="23"/>
      <c r="BI1" s="23"/>
      <c r="BJ1" s="23"/>
      <c r="BK1" s="23"/>
      <c r="BL1" s="23"/>
      <c r="BM1" s="23"/>
      <c r="BN1" s="23"/>
      <c r="BO1" s="23"/>
      <c r="BP1" s="23"/>
      <c r="BQ1" s="23"/>
      <c r="BR1" s="23"/>
      <c r="BS1" s="23"/>
    </row>
    <row r="2" spans="1:89" s="21" customFormat="1" ht="63.75" customHeight="1" x14ac:dyDescent="0.15">
      <c r="A2" s="16" t="s">
        <v>70</v>
      </c>
      <c r="BB2" s="23"/>
      <c r="BC2" s="23"/>
      <c r="BD2" s="23"/>
      <c r="BE2" s="23"/>
      <c r="BF2" s="23"/>
      <c r="BG2" s="23"/>
      <c r="BH2" s="23"/>
      <c r="BI2" s="23"/>
      <c r="BJ2" s="23"/>
      <c r="BK2" s="23"/>
      <c r="BL2" s="23"/>
      <c r="BM2" s="23"/>
      <c r="BN2" s="23"/>
      <c r="BO2" s="23"/>
      <c r="BP2" s="23"/>
      <c r="BQ2" s="23"/>
      <c r="BR2" s="23"/>
      <c r="BS2" s="23"/>
    </row>
    <row r="3" spans="1:89" s="32" customFormat="1" x14ac:dyDescent="0.15">
      <c r="A3" s="24" t="s">
        <v>0</v>
      </c>
      <c r="B3" s="25" t="s">
        <v>71</v>
      </c>
      <c r="C3" s="26" t="s">
        <v>72</v>
      </c>
      <c r="D3" s="25" t="s">
        <v>73</v>
      </c>
      <c r="E3" s="27" t="s">
        <v>74</v>
      </c>
      <c r="F3" s="25" t="s">
        <v>75</v>
      </c>
      <c r="G3" s="26" t="s">
        <v>76</v>
      </c>
      <c r="H3" s="25" t="s">
        <v>77</v>
      </c>
      <c r="I3" s="27" t="s">
        <v>78</v>
      </c>
      <c r="J3" s="26" t="s">
        <v>79</v>
      </c>
      <c r="K3" s="26" t="s">
        <v>80</v>
      </c>
      <c r="L3" s="26" t="s">
        <v>81</v>
      </c>
      <c r="M3" s="27" t="s">
        <v>82</v>
      </c>
      <c r="N3" s="26" t="s">
        <v>83</v>
      </c>
      <c r="O3" s="26" t="s">
        <v>84</v>
      </c>
      <c r="P3" s="26" t="s">
        <v>85</v>
      </c>
      <c r="Q3" s="27" t="s">
        <v>86</v>
      </c>
      <c r="R3" s="26" t="s">
        <v>87</v>
      </c>
      <c r="S3" s="26" t="s">
        <v>88</v>
      </c>
      <c r="T3" s="26" t="s">
        <v>89</v>
      </c>
      <c r="U3" s="27" t="s">
        <v>90</v>
      </c>
      <c r="V3" s="26" t="s">
        <v>91</v>
      </c>
      <c r="W3" s="26" t="s">
        <v>92</v>
      </c>
      <c r="X3" s="26" t="s">
        <v>93</v>
      </c>
      <c r="Y3" s="27" t="s">
        <v>94</v>
      </c>
      <c r="Z3" s="26" t="s">
        <v>95</v>
      </c>
      <c r="AA3" s="26" t="s">
        <v>96</v>
      </c>
      <c r="AB3" s="26" t="s">
        <v>97</v>
      </c>
      <c r="AC3" s="27" t="s">
        <v>98</v>
      </c>
      <c r="AD3" s="26" t="s">
        <v>99</v>
      </c>
      <c r="AE3" s="26" t="s">
        <v>100</v>
      </c>
      <c r="AF3" s="26" t="s">
        <v>101</v>
      </c>
      <c r="AG3" s="27" t="s">
        <v>102</v>
      </c>
      <c r="AH3" s="26" t="s">
        <v>103</v>
      </c>
      <c r="AI3" s="28" t="s">
        <v>104</v>
      </c>
      <c r="AJ3" s="26" t="s">
        <v>105</v>
      </c>
      <c r="AK3" s="27" t="s">
        <v>106</v>
      </c>
      <c r="AL3" s="26" t="s">
        <v>107</v>
      </c>
      <c r="AM3" s="28" t="s">
        <v>108</v>
      </c>
      <c r="AN3" s="26" t="s">
        <v>109</v>
      </c>
      <c r="AO3" s="27" t="s">
        <v>110</v>
      </c>
      <c r="AP3" s="26" t="s">
        <v>111</v>
      </c>
      <c r="AQ3" s="26" t="s">
        <v>112</v>
      </c>
      <c r="AR3" s="26" t="s">
        <v>113</v>
      </c>
      <c r="AS3" s="27" t="s">
        <v>114</v>
      </c>
      <c r="AT3" s="26" t="s">
        <v>115</v>
      </c>
      <c r="AU3" s="26" t="s">
        <v>116</v>
      </c>
      <c r="AV3" s="26" t="s">
        <v>117</v>
      </c>
      <c r="AW3" s="27" t="s">
        <v>118</v>
      </c>
      <c r="AX3" s="26" t="s">
        <v>119</v>
      </c>
      <c r="AY3" s="26" t="s">
        <v>120</v>
      </c>
      <c r="AZ3" s="26" t="s">
        <v>121</v>
      </c>
      <c r="BA3" s="27" t="s">
        <v>122</v>
      </c>
      <c r="BB3" s="26" t="s">
        <v>123</v>
      </c>
      <c r="BC3" s="26" t="s">
        <v>124</v>
      </c>
      <c r="BD3" s="26" t="s">
        <v>125</v>
      </c>
      <c r="BE3" s="27" t="s">
        <v>126</v>
      </c>
      <c r="BF3" s="26" t="s">
        <v>127</v>
      </c>
      <c r="BG3" s="26" t="s">
        <v>128</v>
      </c>
      <c r="BH3" s="26" t="s">
        <v>129</v>
      </c>
      <c r="BI3" s="27" t="s">
        <v>130</v>
      </c>
      <c r="BJ3" s="26" t="s">
        <v>131</v>
      </c>
      <c r="BK3" s="26" t="s">
        <v>132</v>
      </c>
      <c r="BL3" s="26" t="s">
        <v>133</v>
      </c>
      <c r="BM3" s="27" t="s">
        <v>134</v>
      </c>
      <c r="BN3" s="26" t="s">
        <v>15</v>
      </c>
      <c r="BO3" s="26" t="s">
        <v>16</v>
      </c>
      <c r="BP3" s="26" t="s">
        <v>17</v>
      </c>
      <c r="BQ3" s="27" t="s">
        <v>18</v>
      </c>
      <c r="BR3" s="26" t="s">
        <v>19</v>
      </c>
      <c r="BS3" s="27" t="s">
        <v>20</v>
      </c>
      <c r="BT3" s="29"/>
      <c r="BU3" s="30">
        <v>2003</v>
      </c>
      <c r="BV3" s="30">
        <v>2004</v>
      </c>
      <c r="BW3" s="30">
        <v>2005</v>
      </c>
      <c r="BX3" s="30">
        <v>2006</v>
      </c>
      <c r="BY3" s="30">
        <v>2007</v>
      </c>
      <c r="BZ3" s="30">
        <v>2008</v>
      </c>
      <c r="CA3" s="30">
        <v>2009</v>
      </c>
      <c r="CB3" s="30">
        <v>2010</v>
      </c>
      <c r="CC3" s="31">
        <v>2011</v>
      </c>
      <c r="CD3" s="31">
        <v>2012</v>
      </c>
      <c r="CE3" s="31">
        <v>2013</v>
      </c>
      <c r="CF3" s="31">
        <v>2014</v>
      </c>
      <c r="CG3" s="31">
        <v>2015</v>
      </c>
      <c r="CH3" s="31">
        <v>2016</v>
      </c>
      <c r="CI3" s="31">
        <v>2017</v>
      </c>
      <c r="CJ3" s="31">
        <v>2018</v>
      </c>
      <c r="CK3" s="31">
        <v>2019</v>
      </c>
    </row>
    <row r="4" spans="1:89" x14ac:dyDescent="0.15">
      <c r="E4" s="34"/>
      <c r="I4" s="34"/>
      <c r="M4" s="34"/>
      <c r="Q4" s="34"/>
      <c r="U4" s="34"/>
      <c r="Y4" s="34"/>
      <c r="AC4" s="34"/>
      <c r="AG4" s="34"/>
      <c r="AK4" s="34"/>
      <c r="AO4" s="34"/>
      <c r="AS4" s="34"/>
      <c r="AW4" s="34"/>
      <c r="BA4" s="34"/>
      <c r="BE4" s="36"/>
      <c r="BI4" s="36"/>
      <c r="BM4" s="36"/>
      <c r="BQ4" s="36"/>
      <c r="BS4" s="36"/>
      <c r="BU4" s="37"/>
      <c r="BV4" s="37"/>
      <c r="BW4" s="37"/>
      <c r="BX4" s="37"/>
      <c r="BY4" s="37"/>
      <c r="BZ4" s="37"/>
      <c r="CA4" s="37"/>
      <c r="CB4" s="37"/>
      <c r="CC4" s="34"/>
      <c r="CD4" s="34"/>
      <c r="CE4" s="34"/>
      <c r="CF4" s="34"/>
      <c r="CG4" s="34"/>
      <c r="CH4" s="34"/>
      <c r="CI4" s="34"/>
      <c r="CJ4" s="34"/>
    </row>
    <row r="5" spans="1:89" x14ac:dyDescent="0.15">
      <c r="A5" s="38" t="s">
        <v>135</v>
      </c>
      <c r="C5" s="38"/>
      <c r="E5" s="39"/>
      <c r="G5" s="38"/>
      <c r="I5" s="39"/>
      <c r="K5" s="38"/>
      <c r="M5" s="39"/>
      <c r="O5" s="38"/>
      <c r="Q5" s="39"/>
      <c r="S5" s="38"/>
      <c r="U5" s="39"/>
      <c r="V5" s="38"/>
      <c r="W5" s="38"/>
      <c r="X5" s="38"/>
      <c r="Y5" s="39"/>
      <c r="Z5" s="38"/>
      <c r="AA5" s="38"/>
      <c r="AB5" s="38"/>
      <c r="AC5" s="39"/>
      <c r="AD5" s="38"/>
      <c r="AE5" s="38"/>
      <c r="AF5" s="38"/>
      <c r="AG5" s="39"/>
      <c r="AH5" s="38"/>
      <c r="AI5" s="38"/>
      <c r="AJ5" s="38"/>
      <c r="AK5" s="39"/>
      <c r="AL5" s="38"/>
      <c r="AM5" s="38"/>
      <c r="AN5" s="38"/>
      <c r="AO5" s="39"/>
      <c r="AP5" s="38"/>
      <c r="AR5" s="38"/>
      <c r="AS5" s="39"/>
      <c r="AT5" s="38"/>
      <c r="AV5" s="38"/>
      <c r="AW5" s="39"/>
      <c r="BA5" s="34"/>
      <c r="BE5" s="36"/>
      <c r="BI5" s="36"/>
      <c r="BM5" s="36"/>
      <c r="BQ5" s="36"/>
      <c r="BS5" s="36"/>
      <c r="BT5" s="38"/>
      <c r="BU5" s="40"/>
      <c r="BV5" s="40"/>
      <c r="BW5" s="37"/>
      <c r="BX5" s="40"/>
      <c r="BY5" s="37"/>
      <c r="BZ5" s="40"/>
      <c r="CA5" s="37"/>
      <c r="CB5" s="40"/>
      <c r="CC5" s="34"/>
      <c r="CD5" s="41"/>
      <c r="CE5" s="42"/>
      <c r="CF5" s="42"/>
      <c r="CG5" s="42"/>
      <c r="CH5" s="42"/>
      <c r="CI5" s="42"/>
      <c r="CJ5" s="42"/>
    </row>
    <row r="6" spans="1:89" s="52" customFormat="1" x14ac:dyDescent="0.15">
      <c r="A6" s="43" t="s">
        <v>136</v>
      </c>
      <c r="B6" s="44">
        <v>33.200000000000003</v>
      </c>
      <c r="C6" s="45">
        <v>32.1</v>
      </c>
      <c r="D6" s="44">
        <v>48.2</v>
      </c>
      <c r="E6" s="46">
        <v>47.576999999999984</v>
      </c>
      <c r="F6" s="44">
        <v>80.2</v>
      </c>
      <c r="G6" s="45">
        <v>47.7</v>
      </c>
      <c r="H6" s="44">
        <v>45.6</v>
      </c>
      <c r="I6" s="46">
        <v>87.019999999999968</v>
      </c>
      <c r="J6" s="44">
        <v>102.4</v>
      </c>
      <c r="K6" s="45">
        <v>97.2</v>
      </c>
      <c r="L6" s="44">
        <v>134.5</v>
      </c>
      <c r="M6" s="46">
        <v>139.126</v>
      </c>
      <c r="N6" s="44">
        <v>189.5</v>
      </c>
      <c r="O6" s="45">
        <v>193.9</v>
      </c>
      <c r="P6" s="44">
        <v>138.69999999999999</v>
      </c>
      <c r="Q6" s="46">
        <v>169.1</v>
      </c>
      <c r="R6" s="44">
        <v>206.5</v>
      </c>
      <c r="S6" s="45">
        <v>167.5</v>
      </c>
      <c r="T6" s="44">
        <v>179.4</v>
      </c>
      <c r="U6" s="46">
        <v>191.3</v>
      </c>
      <c r="V6" s="45">
        <v>183.3</v>
      </c>
      <c r="W6" s="45">
        <v>161.4</v>
      </c>
      <c r="X6" s="45">
        <v>147.6</v>
      </c>
      <c r="Y6" s="46">
        <v>166.8</v>
      </c>
      <c r="Z6" s="45">
        <v>163.9</v>
      </c>
      <c r="AA6" s="45">
        <v>195.1</v>
      </c>
      <c r="AB6" s="45">
        <v>233.4</v>
      </c>
      <c r="AC6" s="46">
        <v>232</v>
      </c>
      <c r="AD6" s="45">
        <v>232.3</v>
      </c>
      <c r="AE6" s="45">
        <v>232.4</v>
      </c>
      <c r="AF6" s="45">
        <v>174.5</v>
      </c>
      <c r="AG6" s="46">
        <v>184.2</v>
      </c>
      <c r="AH6" s="45">
        <v>194.4</v>
      </c>
      <c r="AI6" s="45">
        <v>145.1</v>
      </c>
      <c r="AJ6" s="45">
        <v>184.2</v>
      </c>
      <c r="AK6" s="46">
        <v>153.9</v>
      </c>
      <c r="AL6" s="45">
        <v>156.19999999999999</v>
      </c>
      <c r="AM6" s="45">
        <v>127.4</v>
      </c>
      <c r="AN6" s="45">
        <v>119.9</v>
      </c>
      <c r="AO6" s="46">
        <v>121.1</v>
      </c>
      <c r="AP6" s="45">
        <v>149.9</v>
      </c>
      <c r="AQ6" s="44">
        <v>137.30000000000001</v>
      </c>
      <c r="AR6" s="45">
        <v>148.126</v>
      </c>
      <c r="AS6" s="46">
        <v>162.4</v>
      </c>
      <c r="AT6" s="45">
        <v>181.392</v>
      </c>
      <c r="AU6" s="44">
        <v>156.59200000000001</v>
      </c>
      <c r="AV6" s="45">
        <v>160.1</v>
      </c>
      <c r="AW6" s="47">
        <v>194.2</v>
      </c>
      <c r="AX6" s="44">
        <v>238.33600000000001</v>
      </c>
      <c r="AY6" s="44">
        <v>217.13800000000001</v>
      </c>
      <c r="AZ6" s="44">
        <v>209.68899999999999</v>
      </c>
      <c r="BA6" s="48">
        <v>226.68600000000001</v>
      </c>
      <c r="BB6" s="44">
        <v>217.24799999999999</v>
      </c>
      <c r="BC6" s="44">
        <v>195.38200000000001</v>
      </c>
      <c r="BD6" s="44">
        <v>198.95699999999999</v>
      </c>
      <c r="BE6" s="48">
        <v>222.37299999999999</v>
      </c>
      <c r="BF6" s="44">
        <v>235.00800000000001</v>
      </c>
      <c r="BG6" s="44">
        <v>208.22800000000001</v>
      </c>
      <c r="BH6" s="44">
        <v>216.04599999999999</v>
      </c>
      <c r="BI6" s="48">
        <v>245.83</v>
      </c>
      <c r="BJ6" s="44">
        <v>248.2</v>
      </c>
      <c r="BK6" s="44">
        <v>227.655</v>
      </c>
      <c r="BL6" s="44">
        <v>242.84800000000001</v>
      </c>
      <c r="BM6" s="48">
        <v>265.19200000000001</v>
      </c>
      <c r="BN6" s="44">
        <v>252.94300000000001</v>
      </c>
      <c r="BO6" s="44">
        <v>256.214</v>
      </c>
      <c r="BP6" s="44">
        <v>266.315</v>
      </c>
      <c r="BQ6" s="48">
        <v>294.65699999999998</v>
      </c>
      <c r="BR6" s="44">
        <v>515.68899999999996</v>
      </c>
      <c r="BS6" s="48">
        <v>498.04</v>
      </c>
      <c r="BT6" s="49"/>
      <c r="BU6" s="50">
        <f>SUM(B6:E6)</f>
        <v>161.077</v>
      </c>
      <c r="BV6" s="50">
        <f>SUM(F6:I6)</f>
        <v>260.52</v>
      </c>
      <c r="BW6" s="50">
        <f>SUM(J6:M6)</f>
        <v>473.226</v>
      </c>
      <c r="BX6" s="50">
        <f>SUM(N6:Q6)</f>
        <v>691.19999999999993</v>
      </c>
      <c r="BY6" s="50">
        <f>SUM(R6:U6)</f>
        <v>744.7</v>
      </c>
      <c r="BZ6" s="50">
        <f>SUM(V6:Y6)</f>
        <v>659.10000000000014</v>
      </c>
      <c r="CA6" s="50">
        <f>SUM(Z6:AC6)</f>
        <v>824.4</v>
      </c>
      <c r="CB6" s="50">
        <f>SUM(AD6:AG6)</f>
        <v>823.40000000000009</v>
      </c>
      <c r="CC6" s="51">
        <f>SUM(AH6:AK6)</f>
        <v>677.6</v>
      </c>
      <c r="CD6" s="51">
        <f>SUM(AL6:AO6)</f>
        <v>524.6</v>
      </c>
      <c r="CE6" s="51">
        <f>SUM(AP6:AS6)</f>
        <v>597.726</v>
      </c>
      <c r="CF6" s="51">
        <f>SUM(AT6:AW6)</f>
        <v>692.28400000000011</v>
      </c>
      <c r="CG6" s="51">
        <f>SUM(AX6:BA6)</f>
        <v>891.84900000000005</v>
      </c>
      <c r="CH6" s="51">
        <f>SUM(BB6:BE6)</f>
        <v>833.96</v>
      </c>
      <c r="CI6" s="51">
        <f>SUM(BF6:BI6)</f>
        <v>905.11199999999997</v>
      </c>
      <c r="CJ6" s="51">
        <f>SUM(BJ6:BM6)</f>
        <v>983.89499999999998</v>
      </c>
      <c r="CK6" s="51">
        <f>SUM(BN6:BQ6)</f>
        <v>1070.1289999999999</v>
      </c>
    </row>
    <row r="7" spans="1:89" x14ac:dyDescent="0.15">
      <c r="A7" s="53" t="s">
        <v>137</v>
      </c>
      <c r="B7" s="44">
        <v>-7.6</v>
      </c>
      <c r="C7" s="45">
        <v>-8.4</v>
      </c>
      <c r="D7" s="44">
        <v>-11.1</v>
      </c>
      <c r="E7" s="46">
        <v>-12.423000000000004</v>
      </c>
      <c r="F7" s="44">
        <v>-20.8</v>
      </c>
      <c r="G7" s="45">
        <v>-12.2</v>
      </c>
      <c r="H7" s="44">
        <v>-14.5</v>
      </c>
      <c r="I7" s="46">
        <v>-36.852999999999994</v>
      </c>
      <c r="J7" s="44">
        <v>-44.5</v>
      </c>
      <c r="K7" s="45">
        <v>-41.6</v>
      </c>
      <c r="L7" s="44">
        <v>-55.4</v>
      </c>
      <c r="M7" s="46">
        <v>-53.552999999999997</v>
      </c>
      <c r="N7" s="44">
        <v>-70.8</v>
      </c>
      <c r="O7" s="45">
        <v>-77</v>
      </c>
      <c r="P7" s="44">
        <v>-57.3</v>
      </c>
      <c r="Q7" s="46">
        <v>-64.7</v>
      </c>
      <c r="R7" s="44">
        <v>-79.099999999999994</v>
      </c>
      <c r="S7" s="45">
        <v>-66.7</v>
      </c>
      <c r="T7" s="44">
        <v>-64.2</v>
      </c>
      <c r="U7" s="46">
        <v>-73.8</v>
      </c>
      <c r="V7" s="45">
        <v>-69.099999999999994</v>
      </c>
      <c r="W7" s="45">
        <v>-65.900000000000006</v>
      </c>
      <c r="X7" s="45">
        <v>-54.8</v>
      </c>
      <c r="Y7" s="46">
        <v>-60.8</v>
      </c>
      <c r="Z7" s="45">
        <v>-64.7</v>
      </c>
      <c r="AA7" s="45">
        <v>-63.3</v>
      </c>
      <c r="AB7" s="45">
        <v>-64.900000000000006</v>
      </c>
      <c r="AC7" s="46">
        <v>-66.400000000000006</v>
      </c>
      <c r="AD7" s="44">
        <v>-68</v>
      </c>
      <c r="AE7" s="44">
        <v>-72.7</v>
      </c>
      <c r="AF7" s="44">
        <v>-64.400000000000006</v>
      </c>
      <c r="AG7" s="48">
        <v>-61.1</v>
      </c>
      <c r="AH7" s="44">
        <v>-61.58</v>
      </c>
      <c r="AI7" s="44">
        <v>-52.6</v>
      </c>
      <c r="AJ7" s="44">
        <v>-55.9</v>
      </c>
      <c r="AK7" s="48">
        <v>-47.3</v>
      </c>
      <c r="AL7" s="44">
        <v>-49.1</v>
      </c>
      <c r="AM7" s="44">
        <v>-46.8</v>
      </c>
      <c r="AN7" s="44">
        <v>-40.799999999999997</v>
      </c>
      <c r="AO7" s="48">
        <v>-43.7</v>
      </c>
      <c r="AP7" s="44">
        <v>-48.6</v>
      </c>
      <c r="AQ7" s="44">
        <v>-46.2</v>
      </c>
      <c r="AR7" s="44">
        <v>-47.727000000000004</v>
      </c>
      <c r="AS7" s="48">
        <v>-51.8</v>
      </c>
      <c r="AT7" s="44">
        <v>-54.335000000000001</v>
      </c>
      <c r="AU7" s="44">
        <v>-48.962000000000003</v>
      </c>
      <c r="AV7" s="44">
        <v>-50.3</v>
      </c>
      <c r="AW7" s="54">
        <v>-60.5</v>
      </c>
      <c r="AX7" s="44">
        <v>-71.332999999999998</v>
      </c>
      <c r="AY7" s="44">
        <v>-72.103999999999999</v>
      </c>
      <c r="AZ7" s="44">
        <v>-61.795999999999999</v>
      </c>
      <c r="BA7" s="48">
        <v>-61.963000000000001</v>
      </c>
      <c r="BB7" s="44">
        <v>-64.433000000000007</v>
      </c>
      <c r="BC7" s="44">
        <v>-57.23</v>
      </c>
      <c r="BD7" s="44">
        <v>-56.651000000000003</v>
      </c>
      <c r="BE7" s="48">
        <v>-65.801000000000002</v>
      </c>
      <c r="BF7" s="44">
        <v>-70.569999999999993</v>
      </c>
      <c r="BG7" s="44">
        <v>-60.529000000000003</v>
      </c>
      <c r="BH7" s="44">
        <v>-64.805999999999997</v>
      </c>
      <c r="BI7" s="48">
        <v>-68.703000000000003</v>
      </c>
      <c r="BJ7" s="44">
        <v>-67.460999999999999</v>
      </c>
      <c r="BK7" s="44">
        <v>-66.698999999999998</v>
      </c>
      <c r="BL7" s="44">
        <v>-76.653999999999996</v>
      </c>
      <c r="BM7" s="48">
        <v>-77.126999999999995</v>
      </c>
      <c r="BN7" s="44">
        <v>-78.659000000000006</v>
      </c>
      <c r="BO7" s="44">
        <v>-77.77</v>
      </c>
      <c r="BP7" s="44">
        <v>-80.424999999999997</v>
      </c>
      <c r="BQ7" s="48">
        <v>-70.337999999999994</v>
      </c>
      <c r="BR7" s="44">
        <v>-134.55600000000001</v>
      </c>
      <c r="BS7" s="48">
        <v>-139.185</v>
      </c>
      <c r="BT7" s="49"/>
      <c r="BU7" s="50">
        <f>SUM(B7:E7)</f>
        <v>-39.523000000000003</v>
      </c>
      <c r="BV7" s="50">
        <f>SUM(F7:I7)</f>
        <v>-84.352999999999994</v>
      </c>
      <c r="BW7" s="50">
        <f>SUM(J7:M7)</f>
        <v>-195.053</v>
      </c>
      <c r="BX7" s="50">
        <f>SUM(N7:Q7)</f>
        <v>-269.8</v>
      </c>
      <c r="BY7" s="50">
        <f>SUM(R7:U7)</f>
        <v>-283.8</v>
      </c>
      <c r="BZ7" s="50">
        <f>SUM(V7:Y7)</f>
        <v>-250.60000000000002</v>
      </c>
      <c r="CA7" s="50">
        <f>SUM(Z7:AC7)</f>
        <v>-259.3</v>
      </c>
      <c r="CB7" s="50">
        <f>SUM(AD7:AG7)</f>
        <v>-266.2</v>
      </c>
      <c r="CC7" s="51">
        <f>SUM(AH7:AK7)</f>
        <v>-217.38</v>
      </c>
      <c r="CD7" s="51">
        <f>SUM(AL7:AO7)</f>
        <v>-180.39999999999998</v>
      </c>
      <c r="CE7" s="51">
        <f>SUM(AP7:AS7)</f>
        <v>-194.327</v>
      </c>
      <c r="CF7" s="51">
        <f>SUM(AT7:AW7)</f>
        <v>-214.09699999999998</v>
      </c>
      <c r="CG7" s="51">
        <f>SUM(AX7:BA7)</f>
        <v>-267.19600000000003</v>
      </c>
      <c r="CH7" s="51">
        <f>SUM(BB7:BE7)</f>
        <v>-244.11500000000001</v>
      </c>
      <c r="CI7" s="51">
        <f>SUM(BF7:BI7)</f>
        <v>-264.60799999999995</v>
      </c>
      <c r="CJ7" s="51">
        <f>SUM(BJ7:BM7)</f>
        <v>-287.94099999999997</v>
      </c>
      <c r="CK7" s="51">
        <f>SUM(BN7:BQ7)</f>
        <v>-307.19200000000001</v>
      </c>
    </row>
    <row r="8" spans="1:89" x14ac:dyDescent="0.15">
      <c r="A8" s="38" t="s">
        <v>138</v>
      </c>
      <c r="B8" s="55">
        <f t="shared" ref="B8:BK8" si="0">SUM(B6:B7)</f>
        <v>25.6</v>
      </c>
      <c r="C8" s="55">
        <f t="shared" si="0"/>
        <v>23.700000000000003</v>
      </c>
      <c r="D8" s="55">
        <f t="shared" si="0"/>
        <v>37.1</v>
      </c>
      <c r="E8" s="56">
        <f t="shared" si="0"/>
        <v>35.153999999999982</v>
      </c>
      <c r="F8" s="55">
        <f t="shared" si="0"/>
        <v>59.400000000000006</v>
      </c>
      <c r="G8" s="55">
        <f t="shared" si="0"/>
        <v>35.5</v>
      </c>
      <c r="H8" s="55">
        <f t="shared" si="0"/>
        <v>31.1</v>
      </c>
      <c r="I8" s="56">
        <f t="shared" si="0"/>
        <v>50.166999999999973</v>
      </c>
      <c r="J8" s="55">
        <f t="shared" si="0"/>
        <v>57.900000000000006</v>
      </c>
      <c r="K8" s="55">
        <f t="shared" si="0"/>
        <v>55.6</v>
      </c>
      <c r="L8" s="55">
        <f t="shared" si="0"/>
        <v>79.099999999999994</v>
      </c>
      <c r="M8" s="56">
        <f t="shared" si="0"/>
        <v>85.573000000000008</v>
      </c>
      <c r="N8" s="55">
        <f t="shared" si="0"/>
        <v>118.7</v>
      </c>
      <c r="O8" s="55">
        <f t="shared" si="0"/>
        <v>116.9</v>
      </c>
      <c r="P8" s="55">
        <f t="shared" si="0"/>
        <v>81.399999999999991</v>
      </c>
      <c r="Q8" s="56">
        <f t="shared" si="0"/>
        <v>104.39999999999999</v>
      </c>
      <c r="R8" s="55">
        <f t="shared" si="0"/>
        <v>127.4</v>
      </c>
      <c r="S8" s="55">
        <f t="shared" si="0"/>
        <v>100.8</v>
      </c>
      <c r="T8" s="55">
        <f t="shared" si="0"/>
        <v>115.2</v>
      </c>
      <c r="U8" s="56">
        <f t="shared" si="0"/>
        <v>117.50000000000001</v>
      </c>
      <c r="V8" s="55">
        <f t="shared" si="0"/>
        <v>114.20000000000002</v>
      </c>
      <c r="W8" s="55">
        <f t="shared" si="0"/>
        <v>95.5</v>
      </c>
      <c r="X8" s="55">
        <f t="shared" si="0"/>
        <v>92.8</v>
      </c>
      <c r="Y8" s="56">
        <f t="shared" si="0"/>
        <v>106.00000000000001</v>
      </c>
      <c r="Z8" s="55">
        <f t="shared" si="0"/>
        <v>99.2</v>
      </c>
      <c r="AA8" s="55">
        <f t="shared" si="0"/>
        <v>131.80000000000001</v>
      </c>
      <c r="AB8" s="55">
        <f t="shared" si="0"/>
        <v>168.5</v>
      </c>
      <c r="AC8" s="56">
        <f t="shared" si="0"/>
        <v>165.6</v>
      </c>
      <c r="AD8" s="55">
        <f t="shared" si="0"/>
        <v>164.3</v>
      </c>
      <c r="AE8" s="55">
        <f t="shared" si="0"/>
        <v>159.69999999999999</v>
      </c>
      <c r="AF8" s="55">
        <f t="shared" si="0"/>
        <v>110.1</v>
      </c>
      <c r="AG8" s="56">
        <f t="shared" si="0"/>
        <v>123.1</v>
      </c>
      <c r="AH8" s="55">
        <f t="shared" si="0"/>
        <v>132.82</v>
      </c>
      <c r="AI8" s="55">
        <f t="shared" si="0"/>
        <v>92.5</v>
      </c>
      <c r="AJ8" s="55">
        <f t="shared" si="0"/>
        <v>128.29999999999998</v>
      </c>
      <c r="AK8" s="56">
        <f t="shared" si="0"/>
        <v>106.60000000000001</v>
      </c>
      <c r="AL8" s="55">
        <f t="shared" si="0"/>
        <v>107.1</v>
      </c>
      <c r="AM8" s="55">
        <f t="shared" si="0"/>
        <v>80.600000000000009</v>
      </c>
      <c r="AN8" s="55">
        <f t="shared" si="0"/>
        <v>79.100000000000009</v>
      </c>
      <c r="AO8" s="56">
        <f t="shared" si="0"/>
        <v>77.399999999999991</v>
      </c>
      <c r="AP8" s="55">
        <f t="shared" si="0"/>
        <v>101.30000000000001</v>
      </c>
      <c r="AQ8" s="55">
        <f t="shared" si="0"/>
        <v>91.100000000000009</v>
      </c>
      <c r="AR8" s="55">
        <f t="shared" si="0"/>
        <v>100.399</v>
      </c>
      <c r="AS8" s="56">
        <f t="shared" si="0"/>
        <v>110.60000000000001</v>
      </c>
      <c r="AT8" s="55">
        <f t="shared" si="0"/>
        <v>127.05699999999999</v>
      </c>
      <c r="AU8" s="55">
        <f t="shared" si="0"/>
        <v>107.63000000000001</v>
      </c>
      <c r="AV8" s="55">
        <f t="shared" si="0"/>
        <v>109.8</v>
      </c>
      <c r="AW8" s="56">
        <f t="shared" si="0"/>
        <v>133.69999999999999</v>
      </c>
      <c r="AX8" s="55">
        <f t="shared" si="0"/>
        <v>167.00300000000001</v>
      </c>
      <c r="AY8" s="55">
        <f t="shared" si="0"/>
        <v>145.03399999999999</v>
      </c>
      <c r="AZ8" s="55">
        <f t="shared" si="0"/>
        <v>147.893</v>
      </c>
      <c r="BA8" s="56">
        <f t="shared" si="0"/>
        <v>164.72300000000001</v>
      </c>
      <c r="BB8" s="55">
        <f t="shared" si="0"/>
        <v>152.815</v>
      </c>
      <c r="BC8" s="55">
        <f t="shared" si="0"/>
        <v>138.15200000000002</v>
      </c>
      <c r="BD8" s="55">
        <f t="shared" si="0"/>
        <v>142.30599999999998</v>
      </c>
      <c r="BE8" s="56">
        <f t="shared" si="0"/>
        <v>156.572</v>
      </c>
      <c r="BF8" s="55">
        <f t="shared" si="0"/>
        <v>164.43800000000002</v>
      </c>
      <c r="BG8" s="55">
        <f t="shared" si="0"/>
        <v>147.69900000000001</v>
      </c>
      <c r="BH8" s="55">
        <f t="shared" si="0"/>
        <v>151.24</v>
      </c>
      <c r="BI8" s="56">
        <f t="shared" si="0"/>
        <v>177.12700000000001</v>
      </c>
      <c r="BJ8" s="55">
        <f t="shared" si="0"/>
        <v>180.73899999999998</v>
      </c>
      <c r="BK8" s="55">
        <f t="shared" si="0"/>
        <v>160.95600000000002</v>
      </c>
      <c r="BL8" s="55">
        <f>SUM(BL6:BL7)</f>
        <v>166.19400000000002</v>
      </c>
      <c r="BM8" s="56">
        <f>SUM(BM6:BM7)</f>
        <v>188.065</v>
      </c>
      <c r="BN8" s="55">
        <f t="shared" ref="BN8:BS8" si="1">SUM(BN6:BN7)</f>
        <v>174.28399999999999</v>
      </c>
      <c r="BO8" s="55">
        <f t="shared" si="1"/>
        <v>178.44400000000002</v>
      </c>
      <c r="BP8" s="55">
        <f t="shared" si="1"/>
        <v>185.89</v>
      </c>
      <c r="BQ8" s="56">
        <f t="shared" si="1"/>
        <v>224.31899999999999</v>
      </c>
      <c r="BR8" s="55">
        <f t="shared" si="1"/>
        <v>381.13299999999992</v>
      </c>
      <c r="BS8" s="56">
        <f t="shared" si="1"/>
        <v>358.85500000000002</v>
      </c>
      <c r="BT8" s="57"/>
      <c r="BU8" s="58">
        <f>SUM(BU6:BU7)</f>
        <v>121.554</v>
      </c>
      <c r="BV8" s="58">
        <f t="shared" ref="BV8:CF8" si="2">SUM(BV6:BV7)</f>
        <v>176.16699999999997</v>
      </c>
      <c r="BW8" s="58">
        <f t="shared" si="2"/>
        <v>278.173</v>
      </c>
      <c r="BX8" s="58">
        <f t="shared" si="2"/>
        <v>421.39999999999992</v>
      </c>
      <c r="BY8" s="58">
        <f t="shared" si="2"/>
        <v>460.90000000000003</v>
      </c>
      <c r="BZ8" s="58">
        <f t="shared" si="2"/>
        <v>408.50000000000011</v>
      </c>
      <c r="CA8" s="58">
        <f t="shared" si="2"/>
        <v>565.09999999999991</v>
      </c>
      <c r="CB8" s="58">
        <f t="shared" si="2"/>
        <v>557.20000000000005</v>
      </c>
      <c r="CC8" s="59">
        <f t="shared" si="2"/>
        <v>460.22</v>
      </c>
      <c r="CD8" s="59">
        <f t="shared" si="2"/>
        <v>344.20000000000005</v>
      </c>
      <c r="CE8" s="59">
        <f t="shared" si="2"/>
        <v>403.399</v>
      </c>
      <c r="CF8" s="59">
        <f t="shared" si="2"/>
        <v>478.18700000000013</v>
      </c>
      <c r="CG8" s="59">
        <f>SUM(CG6:CG7)</f>
        <v>624.65300000000002</v>
      </c>
      <c r="CH8" s="59">
        <f>SUM(CH6:CH7)</f>
        <v>589.84500000000003</v>
      </c>
      <c r="CI8" s="59">
        <f>SUM(CI6:CI7)</f>
        <v>640.50400000000002</v>
      </c>
      <c r="CJ8" s="59">
        <f>SUM(CJ6:CJ7)</f>
        <v>695.95399999999995</v>
      </c>
      <c r="CK8" s="59">
        <f>SUM(CK6:CK7)</f>
        <v>762.9369999999999</v>
      </c>
    </row>
    <row r="9" spans="1:89" s="60" customFormat="1" x14ac:dyDescent="0.15">
      <c r="A9" s="60" t="s">
        <v>139</v>
      </c>
      <c r="B9" s="61">
        <v>0.9</v>
      </c>
      <c r="C9" s="62">
        <v>1</v>
      </c>
      <c r="D9" s="61">
        <v>1</v>
      </c>
      <c r="E9" s="63">
        <v>1.2</v>
      </c>
      <c r="F9" s="61">
        <v>1.5</v>
      </c>
      <c r="G9" s="62">
        <v>1.8</v>
      </c>
      <c r="H9" s="61">
        <v>1.8</v>
      </c>
      <c r="I9" s="63">
        <v>1.8</v>
      </c>
      <c r="J9" s="61">
        <v>5.2</v>
      </c>
      <c r="K9" s="62">
        <v>2.2000000000000002</v>
      </c>
      <c r="L9" s="61">
        <v>3.2</v>
      </c>
      <c r="M9" s="63">
        <v>6.6</v>
      </c>
      <c r="N9" s="61">
        <v>9.5</v>
      </c>
      <c r="O9" s="62">
        <v>10.4</v>
      </c>
      <c r="P9" s="61">
        <v>7.1</v>
      </c>
      <c r="Q9" s="63">
        <v>9.5</v>
      </c>
      <c r="R9" s="61">
        <v>12.8</v>
      </c>
      <c r="S9" s="62">
        <v>11.6</v>
      </c>
      <c r="T9" s="61">
        <v>19.600000000000001</v>
      </c>
      <c r="U9" s="63">
        <v>16.3</v>
      </c>
      <c r="V9" s="62">
        <v>14.3</v>
      </c>
      <c r="W9" s="62">
        <v>10.199999999999999</v>
      </c>
      <c r="X9" s="62">
        <v>6.6</v>
      </c>
      <c r="Y9" s="63">
        <v>3.8</v>
      </c>
      <c r="Z9" s="62">
        <v>4.9000000000000004</v>
      </c>
      <c r="AA9" s="62">
        <v>5.3</v>
      </c>
      <c r="AB9" s="62">
        <v>23.6</v>
      </c>
      <c r="AC9" s="63">
        <v>27.5</v>
      </c>
      <c r="AD9" s="62">
        <v>23.2</v>
      </c>
      <c r="AE9" s="62">
        <v>8.9</v>
      </c>
      <c r="AF9" s="62">
        <v>15.6</v>
      </c>
      <c r="AG9" s="63">
        <v>16.7</v>
      </c>
      <c r="AH9" s="62">
        <v>14.7</v>
      </c>
      <c r="AI9" s="62">
        <v>15</v>
      </c>
      <c r="AJ9" s="62">
        <v>19.600000000000001</v>
      </c>
      <c r="AK9" s="63">
        <v>17.3</v>
      </c>
      <c r="AL9" s="62">
        <v>10.3</v>
      </c>
      <c r="AM9" s="62">
        <v>16.7</v>
      </c>
      <c r="AN9" s="62">
        <v>15.9</v>
      </c>
      <c r="AO9" s="63">
        <v>17.5</v>
      </c>
      <c r="AP9" s="62">
        <v>18</v>
      </c>
      <c r="AQ9" s="62">
        <v>18</v>
      </c>
      <c r="AR9" s="62">
        <v>19.100000000000001</v>
      </c>
      <c r="AS9" s="63">
        <v>21.5</v>
      </c>
      <c r="AT9" s="62">
        <v>21.6</v>
      </c>
      <c r="AU9" s="62">
        <v>27.8</v>
      </c>
      <c r="AV9" s="62">
        <v>28.6</v>
      </c>
      <c r="AW9" s="63">
        <v>29.277999999999999</v>
      </c>
      <c r="AX9" s="62">
        <v>33.329000000000008</v>
      </c>
      <c r="AY9" s="61">
        <v>37.206000000000003</v>
      </c>
      <c r="AZ9" s="61">
        <v>36.042000000000002</v>
      </c>
      <c r="BA9" s="64">
        <v>34.51</v>
      </c>
      <c r="BB9" s="61">
        <v>31.062999999999999</v>
      </c>
      <c r="BC9" s="61">
        <v>29.4</v>
      </c>
      <c r="BD9" s="61">
        <v>32.006999999999998</v>
      </c>
      <c r="BE9" s="64">
        <v>37.1</v>
      </c>
      <c r="BF9" s="61">
        <v>35.295000000000002</v>
      </c>
      <c r="BG9" s="61">
        <v>37.554000000000002</v>
      </c>
      <c r="BH9" s="61">
        <v>43.021000000000001</v>
      </c>
      <c r="BI9" s="64">
        <v>49.218000000000004</v>
      </c>
      <c r="BJ9" s="61">
        <v>52.430999999999997</v>
      </c>
      <c r="BK9" s="61">
        <v>58.576000000000001</v>
      </c>
      <c r="BL9" s="61">
        <v>56.168999999999997</v>
      </c>
      <c r="BM9" s="64">
        <v>62.433</v>
      </c>
      <c r="BN9" s="61">
        <v>54.761000000000003</v>
      </c>
      <c r="BO9" s="61">
        <v>59.582999999999998</v>
      </c>
      <c r="BP9" s="61">
        <v>62.526000000000003</v>
      </c>
      <c r="BQ9" s="64">
        <v>78.247</v>
      </c>
      <c r="BR9" s="61">
        <v>68.983999999999995</v>
      </c>
      <c r="BS9" s="64">
        <v>68.977999999999994</v>
      </c>
      <c r="BT9" s="49"/>
      <c r="BU9" s="50">
        <f>SUM(B9:E9)</f>
        <v>4.0999999999999996</v>
      </c>
      <c r="BV9" s="50">
        <f>SUM(F9:I9)</f>
        <v>6.8999999999999995</v>
      </c>
      <c r="BW9" s="50">
        <f>SUM(J9:M9)</f>
        <v>17.200000000000003</v>
      </c>
      <c r="BX9" s="50">
        <f>SUM(N9:Q9)</f>
        <v>36.5</v>
      </c>
      <c r="BY9" s="50">
        <f>SUM(R9:U9)</f>
        <v>60.3</v>
      </c>
      <c r="BZ9" s="50">
        <f>SUM(V9:Y9)</f>
        <v>34.9</v>
      </c>
      <c r="CA9" s="50">
        <f>SUM(Z9:AC9)</f>
        <v>61.3</v>
      </c>
      <c r="CB9" s="50">
        <f>SUM(AD9:AG9)</f>
        <v>64.400000000000006</v>
      </c>
      <c r="CC9" s="51">
        <f>SUM(AH9:AK9)</f>
        <v>66.599999999999994</v>
      </c>
      <c r="CD9" s="51">
        <f>SUM(AL9:AO9)</f>
        <v>60.4</v>
      </c>
      <c r="CE9" s="51">
        <f>SUM(AP9:AS9)</f>
        <v>76.599999999999994</v>
      </c>
      <c r="CF9" s="51">
        <f>SUM(AT9:AW9)</f>
        <v>107.27799999999999</v>
      </c>
      <c r="CG9" s="51">
        <f>SUM(AX9:BA9)</f>
        <v>141.08700000000002</v>
      </c>
      <c r="CH9" s="51">
        <f>SUM(BB9:BE9)</f>
        <v>129.57</v>
      </c>
      <c r="CI9" s="51">
        <f>SUM(BF9:BI9)</f>
        <v>165.08800000000002</v>
      </c>
      <c r="CJ9" s="51">
        <f>SUM(BJ9:BM9)</f>
        <v>229.60899999999998</v>
      </c>
      <c r="CK9" s="51">
        <f>SUM(BN9:BQ9)</f>
        <v>255.11700000000002</v>
      </c>
    </row>
    <row r="10" spans="1:89" x14ac:dyDescent="0.15">
      <c r="B10" s="44"/>
      <c r="C10" s="45"/>
      <c r="D10" s="44"/>
      <c r="E10" s="46"/>
      <c r="F10" s="44"/>
      <c r="G10" s="45"/>
      <c r="H10" s="44"/>
      <c r="I10" s="46"/>
      <c r="J10" s="44"/>
      <c r="K10" s="45"/>
      <c r="L10" s="44"/>
      <c r="M10" s="46"/>
      <c r="N10" s="44"/>
      <c r="O10" s="45"/>
      <c r="P10" s="44"/>
      <c r="Q10" s="46"/>
      <c r="R10" s="44"/>
      <c r="S10" s="45"/>
      <c r="T10" s="44"/>
      <c r="U10" s="46"/>
      <c r="V10" s="45"/>
      <c r="W10" s="45"/>
      <c r="X10" s="45"/>
      <c r="Y10" s="46"/>
      <c r="Z10" s="45"/>
      <c r="AA10" s="45"/>
      <c r="AB10" s="45"/>
      <c r="AC10" s="46"/>
      <c r="AD10" s="45"/>
      <c r="AE10" s="45"/>
      <c r="AF10" s="45"/>
      <c r="AG10" s="46"/>
      <c r="AH10" s="45"/>
      <c r="AI10" s="45"/>
      <c r="AJ10" s="45"/>
      <c r="AK10" s="46"/>
      <c r="AL10" s="45"/>
      <c r="AM10" s="45"/>
      <c r="AN10" s="45"/>
      <c r="AO10" s="46"/>
      <c r="AP10" s="45"/>
      <c r="AQ10" s="44"/>
      <c r="AR10" s="45"/>
      <c r="AS10" s="46"/>
      <c r="AT10" s="45"/>
      <c r="AU10" s="44"/>
      <c r="AV10" s="45"/>
      <c r="AW10" s="46"/>
      <c r="AX10" s="44"/>
      <c r="AY10" s="44"/>
      <c r="AZ10" s="44"/>
      <c r="BA10" s="48"/>
      <c r="BB10" s="65"/>
      <c r="BC10" s="65"/>
      <c r="BD10" s="65"/>
      <c r="BE10" s="66"/>
      <c r="BF10" s="65"/>
      <c r="BG10" s="67"/>
      <c r="BH10" s="65"/>
      <c r="BI10" s="66"/>
      <c r="BJ10" s="65"/>
      <c r="BK10" s="67"/>
      <c r="BL10" s="65"/>
      <c r="BM10" s="66"/>
      <c r="BN10" s="65"/>
      <c r="BO10" s="67"/>
      <c r="BP10" s="65"/>
      <c r="BQ10" s="66"/>
      <c r="BR10" s="65"/>
      <c r="BS10" s="66"/>
      <c r="BT10" s="49"/>
      <c r="BU10" s="50"/>
      <c r="BV10" s="50"/>
      <c r="BW10" s="50"/>
      <c r="BX10" s="50"/>
      <c r="BY10" s="50"/>
      <c r="BZ10" s="50"/>
      <c r="CA10" s="50"/>
      <c r="CB10" s="50"/>
      <c r="CC10" s="51"/>
      <c r="CD10" s="51"/>
      <c r="CE10" s="51"/>
      <c r="CF10" s="51"/>
      <c r="CG10" s="51"/>
      <c r="CH10" s="68"/>
      <c r="CI10" s="68"/>
      <c r="CJ10" s="68"/>
      <c r="CK10" s="68"/>
    </row>
    <row r="11" spans="1:89" x14ac:dyDescent="0.15">
      <c r="A11" s="53" t="s">
        <v>140</v>
      </c>
      <c r="B11" s="44">
        <v>16.899999999999999</v>
      </c>
      <c r="C11" s="45">
        <v>16.600000000000001</v>
      </c>
      <c r="D11" s="44">
        <v>16.600000000000001</v>
      </c>
      <c r="E11" s="46">
        <v>17.490000000000002</v>
      </c>
      <c r="F11" s="44">
        <v>22.3</v>
      </c>
      <c r="G11" s="45">
        <v>23.3</v>
      </c>
      <c r="H11" s="44">
        <v>22.9</v>
      </c>
      <c r="I11" s="46">
        <v>29.150000000000006</v>
      </c>
      <c r="J11" s="44">
        <v>31</v>
      </c>
      <c r="K11" s="45">
        <v>34</v>
      </c>
      <c r="L11" s="44">
        <v>39.799999999999997</v>
      </c>
      <c r="M11" s="46">
        <v>45.316000000000017</v>
      </c>
      <c r="N11" s="44">
        <v>53.4</v>
      </c>
      <c r="O11" s="45">
        <v>66.7</v>
      </c>
      <c r="P11" s="44">
        <v>69.3</v>
      </c>
      <c r="Q11" s="46">
        <v>79.900000000000006</v>
      </c>
      <c r="R11" s="44">
        <v>94.8</v>
      </c>
      <c r="S11" s="45">
        <v>105.3</v>
      </c>
      <c r="T11" s="44">
        <v>113.2</v>
      </c>
      <c r="U11" s="46">
        <v>121.2</v>
      </c>
      <c r="V11" s="45">
        <v>122.2</v>
      </c>
      <c r="W11" s="45">
        <v>127.9</v>
      </c>
      <c r="X11" s="45">
        <v>126.6</v>
      </c>
      <c r="Y11" s="46">
        <v>91</v>
      </c>
      <c r="Z11" s="45">
        <v>59.9</v>
      </c>
      <c r="AA11" s="45">
        <v>48.6</v>
      </c>
      <c r="AB11" s="45">
        <v>66.099999999999994</v>
      </c>
      <c r="AC11" s="46">
        <v>74.5</v>
      </c>
      <c r="AD11" s="45">
        <v>79.3</v>
      </c>
      <c r="AE11" s="45">
        <v>87.6</v>
      </c>
      <c r="AF11" s="45">
        <v>76.599999999999994</v>
      </c>
      <c r="AG11" s="46">
        <v>125.3</v>
      </c>
      <c r="AH11" s="45">
        <v>144.5</v>
      </c>
      <c r="AI11" s="45">
        <v>151.5</v>
      </c>
      <c r="AJ11" s="45">
        <v>148.5</v>
      </c>
      <c r="AK11" s="46">
        <v>160.1</v>
      </c>
      <c r="AL11" s="45">
        <v>154.30000000000001</v>
      </c>
      <c r="AM11" s="45">
        <v>147.6</v>
      </c>
      <c r="AN11" s="45">
        <v>142.6</v>
      </c>
      <c r="AO11" s="46">
        <v>140.6</v>
      </c>
      <c r="AP11" s="45">
        <v>131.9</v>
      </c>
      <c r="AQ11" s="44">
        <v>131.9</v>
      </c>
      <c r="AR11" s="45">
        <v>131.90200000000002</v>
      </c>
      <c r="AS11" s="46">
        <v>136.80000000000001</v>
      </c>
      <c r="AT11" s="45">
        <v>133.06100000000001</v>
      </c>
      <c r="AU11" s="44">
        <v>136.738</v>
      </c>
      <c r="AV11" s="45">
        <v>133.5</v>
      </c>
      <c r="AW11" s="46">
        <v>125.5</v>
      </c>
      <c r="AX11" s="44">
        <v>119.355</v>
      </c>
      <c r="AY11" s="44">
        <v>113.955</v>
      </c>
      <c r="AZ11" s="44">
        <v>109.78</v>
      </c>
      <c r="BA11" s="48">
        <v>107.934</v>
      </c>
      <c r="BB11" s="44">
        <v>108.384</v>
      </c>
      <c r="BC11" s="44">
        <v>107.526</v>
      </c>
      <c r="BD11" s="44">
        <v>107.57</v>
      </c>
      <c r="BE11" s="48">
        <v>110.46299999999999</v>
      </c>
      <c r="BF11" s="44">
        <v>110.005</v>
      </c>
      <c r="BG11" s="44">
        <v>107.851</v>
      </c>
      <c r="BH11" s="44">
        <v>105.521</v>
      </c>
      <c r="BI11" s="48">
        <v>108.31699999999999</v>
      </c>
      <c r="BJ11" s="44">
        <v>108.59399999999999</v>
      </c>
      <c r="BK11" s="44">
        <v>106.967</v>
      </c>
      <c r="BL11" s="44">
        <v>105.217</v>
      </c>
      <c r="BM11" s="48">
        <v>103.745</v>
      </c>
      <c r="BN11" s="44">
        <v>137.25700000000001</v>
      </c>
      <c r="BO11" s="44">
        <v>164.57400000000001</v>
      </c>
      <c r="BP11" s="44">
        <v>142.49700000000001</v>
      </c>
      <c r="BQ11" s="48">
        <v>175.916</v>
      </c>
      <c r="BR11" s="44">
        <v>191.58699999999999</v>
      </c>
      <c r="BS11" s="48">
        <v>201.73599999999999</v>
      </c>
      <c r="BT11" s="49"/>
      <c r="BU11" s="50">
        <f>SUM(B11:E11)</f>
        <v>67.59</v>
      </c>
      <c r="BV11" s="50">
        <f>SUM(F11:I11)</f>
        <v>97.65</v>
      </c>
      <c r="BW11" s="50">
        <f>SUM(J11:M11)</f>
        <v>150.11600000000001</v>
      </c>
      <c r="BX11" s="50">
        <f>SUM(N11:Q11)</f>
        <v>269.29999999999995</v>
      </c>
      <c r="BY11" s="50">
        <f>SUM(R11:U11)</f>
        <v>434.5</v>
      </c>
      <c r="BZ11" s="50">
        <f>SUM(V11:Y11)</f>
        <v>467.70000000000005</v>
      </c>
      <c r="CA11" s="50">
        <f>SUM(Z11:AC11)</f>
        <v>249.1</v>
      </c>
      <c r="CB11" s="50">
        <f>SUM(AD11:AG11)</f>
        <v>368.79999999999995</v>
      </c>
      <c r="CC11" s="51">
        <f>SUM(AH11:AK11)</f>
        <v>604.6</v>
      </c>
      <c r="CD11" s="51">
        <f>SUM(AL11:AO11)</f>
        <v>585.1</v>
      </c>
      <c r="CE11" s="51">
        <f>SUM(AP11:AS11)</f>
        <v>532.50199999999995</v>
      </c>
      <c r="CF11" s="51">
        <f>SUM(AT11:AW11)</f>
        <v>528.79899999999998</v>
      </c>
      <c r="CG11" s="51">
        <f>SUM(AX11:BA11)</f>
        <v>451.024</v>
      </c>
      <c r="CH11" s="51">
        <f>SUM(BB11:BE11)</f>
        <v>433.94299999999998</v>
      </c>
      <c r="CI11" s="51">
        <f>SUM(BF11:BI11)</f>
        <v>431.69400000000002</v>
      </c>
      <c r="CJ11" s="51">
        <f>SUM(BJ11:BM11)</f>
        <v>424.52299999999997</v>
      </c>
      <c r="CK11" s="51">
        <f>SUM(BN11:BQ11)</f>
        <v>620.24400000000003</v>
      </c>
    </row>
    <row r="12" spans="1:89" x14ac:dyDescent="0.15">
      <c r="A12" s="53" t="s">
        <v>141</v>
      </c>
      <c r="B12" s="44">
        <v>-6.5</v>
      </c>
      <c r="C12" s="45">
        <v>-5.8</v>
      </c>
      <c r="D12" s="44">
        <v>-4.2</v>
      </c>
      <c r="E12" s="46">
        <v>-3.838000000000001</v>
      </c>
      <c r="F12" s="44">
        <v>-3.8</v>
      </c>
      <c r="G12" s="45">
        <v>-2.4</v>
      </c>
      <c r="H12" s="44">
        <v>-2.2000000000000002</v>
      </c>
      <c r="I12" s="46">
        <v>-4.9789999999999992</v>
      </c>
      <c r="J12" s="44">
        <v>-5.6</v>
      </c>
      <c r="K12" s="45">
        <v>-6.7</v>
      </c>
      <c r="L12" s="44">
        <v>-6.9</v>
      </c>
      <c r="M12" s="46">
        <v>-6.923</v>
      </c>
      <c r="N12" s="44">
        <v>-10.3</v>
      </c>
      <c r="O12" s="45">
        <v>-15.2</v>
      </c>
      <c r="P12" s="44">
        <v>-18.899999999999999</v>
      </c>
      <c r="Q12" s="46">
        <v>-23.2</v>
      </c>
      <c r="R12" s="44">
        <v>-30</v>
      </c>
      <c r="S12" s="45">
        <v>-37</v>
      </c>
      <c r="T12" s="44">
        <v>-44.4</v>
      </c>
      <c r="U12" s="46">
        <v>-51.1</v>
      </c>
      <c r="V12" s="45">
        <v>-56.6</v>
      </c>
      <c r="W12" s="45">
        <v>-59.6</v>
      </c>
      <c r="X12" s="45">
        <v>-58.9</v>
      </c>
      <c r="Y12" s="46">
        <v>-41.1</v>
      </c>
      <c r="Z12" s="45">
        <v>-17.600000000000001</v>
      </c>
      <c r="AA12" s="45">
        <v>-7.7</v>
      </c>
      <c r="AB12" s="45">
        <v>-10.9</v>
      </c>
      <c r="AC12" s="46">
        <v>-8.6</v>
      </c>
      <c r="AD12" s="45">
        <v>-8.699999</v>
      </c>
      <c r="AE12" s="45">
        <v>-10.166720000000002</v>
      </c>
      <c r="AF12" s="45">
        <v>-11.034149340000001</v>
      </c>
      <c r="AG12" s="46">
        <v>-14.857462989999998</v>
      </c>
      <c r="AH12" s="45">
        <v>-11.2425</v>
      </c>
      <c r="AI12" s="45">
        <v>-12.592499989999999</v>
      </c>
      <c r="AJ12" s="45">
        <v>-17.075376570000003</v>
      </c>
      <c r="AK12" s="46">
        <v>-18.492499990000002</v>
      </c>
      <c r="AL12" s="45">
        <v>-18.078599999999998</v>
      </c>
      <c r="AM12" s="45">
        <v>-18.128599999999999</v>
      </c>
      <c r="AN12" s="45">
        <v>-19.797265040000003</v>
      </c>
      <c r="AO12" s="46">
        <v>-16.578659999999999</v>
      </c>
      <c r="AP12" s="45">
        <v>-14.215</v>
      </c>
      <c r="AQ12" s="44">
        <v>-13.469072000000001</v>
      </c>
      <c r="AR12" s="45">
        <v>-13.985093000000001</v>
      </c>
      <c r="AS12" s="46">
        <v>-14.208345</v>
      </c>
      <c r="AT12" s="45">
        <v>-12.696</v>
      </c>
      <c r="AU12" s="44">
        <v>-13.462</v>
      </c>
      <c r="AV12" s="45">
        <v>-12.8</v>
      </c>
      <c r="AW12" s="46">
        <v>-11.247999999999999</v>
      </c>
      <c r="AX12" s="44">
        <v>-10.880178000000001</v>
      </c>
      <c r="AY12" s="44">
        <v>-10.352774</v>
      </c>
      <c r="AZ12" s="44">
        <v>-11.98150764</v>
      </c>
      <c r="BA12" s="48">
        <v>-11.237508999999999</v>
      </c>
      <c r="BB12" s="44">
        <v>-9.7586883499999999</v>
      </c>
      <c r="BC12" s="44">
        <v>-7.271312</v>
      </c>
      <c r="BD12" s="44">
        <v>-6.4059999999999997</v>
      </c>
      <c r="BE12" s="48">
        <v>-7.3330000000000002</v>
      </c>
      <c r="BF12" s="44">
        <v>-9.8309999999999995</v>
      </c>
      <c r="BG12" s="44">
        <v>-11.567</v>
      </c>
      <c r="BH12" s="44">
        <v>-9.6869999999999994</v>
      </c>
      <c r="BI12" s="48">
        <v>-14.34</v>
      </c>
      <c r="BJ12" s="44">
        <v>-13.288</v>
      </c>
      <c r="BK12" s="44">
        <v>-11.114000000000001</v>
      </c>
      <c r="BL12" s="44">
        <v>-13.794</v>
      </c>
      <c r="BM12" s="48">
        <v>-8.7639999999999993</v>
      </c>
      <c r="BN12" s="44">
        <v>-33.372</v>
      </c>
      <c r="BO12" s="44">
        <v>-31.632999999999999</v>
      </c>
      <c r="BP12" s="44">
        <v>-13.711</v>
      </c>
      <c r="BQ12" s="48">
        <v>-43.795000000000002</v>
      </c>
      <c r="BR12" s="44">
        <v>-44.625999999999998</v>
      </c>
      <c r="BS12" s="48">
        <v>-45.460999999999999</v>
      </c>
      <c r="BT12" s="49"/>
      <c r="BU12" s="50">
        <f>SUM(B12:E12)</f>
        <v>-20.338000000000001</v>
      </c>
      <c r="BV12" s="50">
        <f>SUM(F12:I12)</f>
        <v>-13.378999999999998</v>
      </c>
      <c r="BW12" s="50">
        <f>SUM(J12:M12)</f>
        <v>-26.123000000000005</v>
      </c>
      <c r="BX12" s="50">
        <f>SUM(N12:Q12)</f>
        <v>-67.599999999999994</v>
      </c>
      <c r="BY12" s="50">
        <f>SUM(R12:U12)</f>
        <v>-162.5</v>
      </c>
      <c r="BZ12" s="50">
        <f>SUM(V12:Y12)</f>
        <v>-216.2</v>
      </c>
      <c r="CA12" s="50">
        <f>SUM(Z12:AC12)</f>
        <v>-44.800000000000004</v>
      </c>
      <c r="CB12" s="50">
        <f>SUM(AD12:AG12)</f>
        <v>-44.758331330000004</v>
      </c>
      <c r="CC12" s="51">
        <f>SUM(AH12:AK12)</f>
        <v>-59.402876550000002</v>
      </c>
      <c r="CD12" s="51">
        <f>SUM(AL12:AO12)</f>
        <v>-72.583125039999999</v>
      </c>
      <c r="CE12" s="51">
        <f>SUM(AP12:AS12)</f>
        <v>-55.877510000000001</v>
      </c>
      <c r="CF12" s="51">
        <f>SUM(AT12:AW12)</f>
        <v>-50.205999999999996</v>
      </c>
      <c r="CG12" s="51">
        <f>SUM(AX12:BA12)</f>
        <v>-44.451968640000004</v>
      </c>
      <c r="CH12" s="51">
        <f>SUM(BB12:BE12)</f>
        <v>-30.769000349999999</v>
      </c>
      <c r="CI12" s="51">
        <f>SUM(BF12:BI12)</f>
        <v>-45.424999999999997</v>
      </c>
      <c r="CJ12" s="51">
        <f>SUM(BJ12:BM12)</f>
        <v>-46.959999999999994</v>
      </c>
      <c r="CK12" s="51">
        <f>SUM(BN12:BQ12)</f>
        <v>-122.511</v>
      </c>
    </row>
    <row r="13" spans="1:89" x14ac:dyDescent="0.15">
      <c r="A13" s="38" t="s">
        <v>2</v>
      </c>
      <c r="B13" s="55">
        <f t="shared" ref="B13:BK13" si="3">SUM(B11:B12)</f>
        <v>10.399999999999999</v>
      </c>
      <c r="C13" s="55">
        <f t="shared" si="3"/>
        <v>10.8</v>
      </c>
      <c r="D13" s="55">
        <f t="shared" si="3"/>
        <v>12.400000000000002</v>
      </c>
      <c r="E13" s="56">
        <f t="shared" si="3"/>
        <v>13.652000000000001</v>
      </c>
      <c r="F13" s="55">
        <f t="shared" si="3"/>
        <v>18.5</v>
      </c>
      <c r="G13" s="55">
        <f t="shared" si="3"/>
        <v>20.900000000000002</v>
      </c>
      <c r="H13" s="55">
        <f t="shared" si="3"/>
        <v>20.7</v>
      </c>
      <c r="I13" s="56">
        <f t="shared" si="3"/>
        <v>24.171000000000006</v>
      </c>
      <c r="J13" s="55">
        <f t="shared" si="3"/>
        <v>25.4</v>
      </c>
      <c r="K13" s="55">
        <f t="shared" si="3"/>
        <v>27.3</v>
      </c>
      <c r="L13" s="55">
        <f t="shared" si="3"/>
        <v>32.9</v>
      </c>
      <c r="M13" s="56">
        <f t="shared" si="3"/>
        <v>38.393000000000015</v>
      </c>
      <c r="N13" s="55">
        <f t="shared" si="3"/>
        <v>43.099999999999994</v>
      </c>
      <c r="O13" s="55">
        <f t="shared" si="3"/>
        <v>51.5</v>
      </c>
      <c r="P13" s="55">
        <f t="shared" si="3"/>
        <v>50.4</v>
      </c>
      <c r="Q13" s="56">
        <f t="shared" si="3"/>
        <v>56.7</v>
      </c>
      <c r="R13" s="55">
        <f t="shared" si="3"/>
        <v>64.8</v>
      </c>
      <c r="S13" s="55">
        <f t="shared" si="3"/>
        <v>68.3</v>
      </c>
      <c r="T13" s="55">
        <f t="shared" si="3"/>
        <v>68.800000000000011</v>
      </c>
      <c r="U13" s="56">
        <f t="shared" si="3"/>
        <v>70.099999999999994</v>
      </c>
      <c r="V13" s="55">
        <f t="shared" si="3"/>
        <v>65.599999999999994</v>
      </c>
      <c r="W13" s="55">
        <f t="shared" si="3"/>
        <v>68.300000000000011</v>
      </c>
      <c r="X13" s="55">
        <f t="shared" si="3"/>
        <v>67.699999999999989</v>
      </c>
      <c r="Y13" s="56">
        <f t="shared" si="3"/>
        <v>49.9</v>
      </c>
      <c r="Z13" s="55">
        <f t="shared" si="3"/>
        <v>42.3</v>
      </c>
      <c r="AA13" s="55">
        <f t="shared" si="3"/>
        <v>40.9</v>
      </c>
      <c r="AB13" s="55">
        <f t="shared" si="3"/>
        <v>55.199999999999996</v>
      </c>
      <c r="AC13" s="56">
        <f t="shared" si="3"/>
        <v>65.900000000000006</v>
      </c>
      <c r="AD13" s="55">
        <f t="shared" si="3"/>
        <v>70.600000999999992</v>
      </c>
      <c r="AE13" s="55">
        <f t="shared" si="3"/>
        <v>77.433279999999996</v>
      </c>
      <c r="AF13" s="55">
        <f t="shared" si="3"/>
        <v>65.565850659999995</v>
      </c>
      <c r="AG13" s="56">
        <f t="shared" si="3"/>
        <v>110.44253701</v>
      </c>
      <c r="AH13" s="55">
        <f t="shared" si="3"/>
        <v>133.25749999999999</v>
      </c>
      <c r="AI13" s="55">
        <f t="shared" si="3"/>
        <v>138.90750001000001</v>
      </c>
      <c r="AJ13" s="55">
        <f t="shared" si="3"/>
        <v>131.42462343</v>
      </c>
      <c r="AK13" s="56">
        <f t="shared" si="3"/>
        <v>141.60750001</v>
      </c>
      <c r="AL13" s="55">
        <f t="shared" si="3"/>
        <v>136.22140000000002</v>
      </c>
      <c r="AM13" s="55">
        <f t="shared" si="3"/>
        <v>129.47139999999999</v>
      </c>
      <c r="AN13" s="55">
        <f t="shared" si="3"/>
        <v>122.80273496</v>
      </c>
      <c r="AO13" s="56">
        <f t="shared" si="3"/>
        <v>124.02134</v>
      </c>
      <c r="AP13" s="55">
        <f t="shared" si="3"/>
        <v>117.685</v>
      </c>
      <c r="AQ13" s="55">
        <f t="shared" si="3"/>
        <v>118.43092800000001</v>
      </c>
      <c r="AR13" s="55">
        <f t="shared" si="3"/>
        <v>117.91690700000001</v>
      </c>
      <c r="AS13" s="56">
        <f t="shared" si="3"/>
        <v>122.59165500000002</v>
      </c>
      <c r="AT13" s="55">
        <f t="shared" si="3"/>
        <v>120.36500000000001</v>
      </c>
      <c r="AU13" s="55">
        <f t="shared" si="3"/>
        <v>123.276</v>
      </c>
      <c r="AV13" s="55">
        <f t="shared" si="3"/>
        <v>120.7</v>
      </c>
      <c r="AW13" s="56">
        <f t="shared" si="3"/>
        <v>114.252</v>
      </c>
      <c r="AX13" s="55">
        <f t="shared" si="3"/>
        <v>108.474822</v>
      </c>
      <c r="AY13" s="55">
        <f t="shared" si="3"/>
        <v>103.602226</v>
      </c>
      <c r="AZ13" s="55">
        <f t="shared" si="3"/>
        <v>97.798492359999997</v>
      </c>
      <c r="BA13" s="56">
        <f t="shared" si="3"/>
        <v>96.696490999999995</v>
      </c>
      <c r="BB13" s="55">
        <f t="shared" si="3"/>
        <v>98.62531165</v>
      </c>
      <c r="BC13" s="55">
        <f t="shared" si="3"/>
        <v>100.254688</v>
      </c>
      <c r="BD13" s="55">
        <f t="shared" si="3"/>
        <v>101.16399999999999</v>
      </c>
      <c r="BE13" s="56">
        <f t="shared" si="3"/>
        <v>103.13</v>
      </c>
      <c r="BF13" s="55">
        <f t="shared" si="3"/>
        <v>100.17399999999999</v>
      </c>
      <c r="BG13" s="55">
        <f t="shared" si="3"/>
        <v>96.283999999999992</v>
      </c>
      <c r="BH13" s="55">
        <f t="shared" si="3"/>
        <v>95.834000000000003</v>
      </c>
      <c r="BI13" s="56">
        <f t="shared" si="3"/>
        <v>93.97699999999999</v>
      </c>
      <c r="BJ13" s="55">
        <f t="shared" si="3"/>
        <v>95.305999999999997</v>
      </c>
      <c r="BK13" s="55">
        <f t="shared" si="3"/>
        <v>95.852999999999994</v>
      </c>
      <c r="BL13" s="55">
        <f>SUM(BL11:BL12)</f>
        <v>91.423000000000002</v>
      </c>
      <c r="BM13" s="56">
        <f>SUM(BM11:BM12)</f>
        <v>94.981000000000009</v>
      </c>
      <c r="BN13" s="55">
        <f t="shared" ref="BN13:BS13" si="4">SUM(BN11:BN12)</f>
        <v>103.88500000000001</v>
      </c>
      <c r="BO13" s="55">
        <f t="shared" si="4"/>
        <v>132.941</v>
      </c>
      <c r="BP13" s="55">
        <f t="shared" si="4"/>
        <v>128.786</v>
      </c>
      <c r="BQ13" s="56">
        <f t="shared" si="4"/>
        <v>132.12099999999998</v>
      </c>
      <c r="BR13" s="55">
        <f t="shared" si="4"/>
        <v>146.96099999999998</v>
      </c>
      <c r="BS13" s="56">
        <f t="shared" si="4"/>
        <v>156.27499999999998</v>
      </c>
      <c r="BT13" s="57"/>
      <c r="BU13" s="58">
        <f>SUM(BU11:BU12)</f>
        <v>47.252000000000002</v>
      </c>
      <c r="BV13" s="58">
        <f t="shared" ref="BV13:CF13" si="5">SUM(BV11:BV12)</f>
        <v>84.271000000000015</v>
      </c>
      <c r="BW13" s="58">
        <f t="shared" si="5"/>
        <v>123.99300000000001</v>
      </c>
      <c r="BX13" s="58">
        <f t="shared" si="5"/>
        <v>201.69999999999996</v>
      </c>
      <c r="BY13" s="58">
        <f t="shared" si="5"/>
        <v>272</v>
      </c>
      <c r="BZ13" s="58">
        <f t="shared" si="5"/>
        <v>251.50000000000006</v>
      </c>
      <c r="CA13" s="58">
        <f t="shared" si="5"/>
        <v>204.29999999999998</v>
      </c>
      <c r="CB13" s="58">
        <f t="shared" si="5"/>
        <v>324.04166866999992</v>
      </c>
      <c r="CC13" s="59">
        <f t="shared" si="5"/>
        <v>545.19712345000005</v>
      </c>
      <c r="CD13" s="59">
        <f t="shared" si="5"/>
        <v>512.51687496</v>
      </c>
      <c r="CE13" s="59">
        <f t="shared" si="5"/>
        <v>476.62448999999992</v>
      </c>
      <c r="CF13" s="59">
        <f t="shared" si="5"/>
        <v>478.59299999999996</v>
      </c>
      <c r="CG13" s="59">
        <f>SUM(CG11:CG12)</f>
        <v>406.57203135999998</v>
      </c>
      <c r="CH13" s="59">
        <f>SUM(CH11:CH12)</f>
        <v>403.17399964999998</v>
      </c>
      <c r="CI13" s="59">
        <f>SUM(CI11:CI12)</f>
        <v>386.26900000000001</v>
      </c>
      <c r="CJ13" s="59">
        <f>SUM(CJ11:CJ12)</f>
        <v>377.56299999999999</v>
      </c>
      <c r="CK13" s="59">
        <f>SUM(CK11:CK12)</f>
        <v>497.73300000000006</v>
      </c>
    </row>
    <row r="14" spans="1:89" x14ac:dyDescent="0.15">
      <c r="A14" s="53" t="s">
        <v>142</v>
      </c>
      <c r="B14" s="44">
        <v>0.1</v>
      </c>
      <c r="C14" s="45">
        <v>1.5</v>
      </c>
      <c r="D14" s="44">
        <v>-0.3</v>
      </c>
      <c r="E14" s="46">
        <v>0.87899999999999967</v>
      </c>
      <c r="F14" s="44">
        <v>3.8</v>
      </c>
      <c r="G14" s="45">
        <v>-2.4</v>
      </c>
      <c r="H14" s="44">
        <v>0.2</v>
      </c>
      <c r="I14" s="46">
        <v>-4.84</v>
      </c>
      <c r="J14" s="44">
        <v>-0.1</v>
      </c>
      <c r="K14" s="45">
        <v>3.4</v>
      </c>
      <c r="L14" s="44">
        <v>0.9</v>
      </c>
      <c r="M14" s="46">
        <v>1.0089999999999995</v>
      </c>
      <c r="N14" s="44">
        <v>4.5</v>
      </c>
      <c r="O14" s="45">
        <v>-0.1</v>
      </c>
      <c r="P14" s="44">
        <v>-0.7</v>
      </c>
      <c r="Q14" s="46">
        <v>2.1</v>
      </c>
      <c r="R14" s="44">
        <v>4.5999999999999996</v>
      </c>
      <c r="S14" s="45">
        <v>11.2</v>
      </c>
      <c r="T14" s="44">
        <v>9.1</v>
      </c>
      <c r="U14" s="46">
        <v>-1.2</v>
      </c>
      <c r="V14" s="45">
        <v>4.7</v>
      </c>
      <c r="W14" s="45">
        <v>4.4000000000000004</v>
      </c>
      <c r="X14" s="45">
        <v>2.5</v>
      </c>
      <c r="Y14" s="46">
        <v>0.1</v>
      </c>
      <c r="Z14" s="45">
        <v>1.3</v>
      </c>
      <c r="AA14" s="45">
        <v>8.4</v>
      </c>
      <c r="AB14" s="45">
        <v>19.100000000000001</v>
      </c>
      <c r="AC14" s="46">
        <v>7.9</v>
      </c>
      <c r="AD14" s="45">
        <v>17.5</v>
      </c>
      <c r="AE14" s="45">
        <v>6.2</v>
      </c>
      <c r="AF14" s="45">
        <v>16.940999999999999</v>
      </c>
      <c r="AG14" s="46">
        <v>3.06</v>
      </c>
      <c r="AH14" s="45">
        <v>13.6</v>
      </c>
      <c r="AI14" s="45">
        <v>2.2000000000000002</v>
      </c>
      <c r="AJ14" s="45">
        <v>11.9</v>
      </c>
      <c r="AK14" s="46">
        <v>3.9</v>
      </c>
      <c r="AL14" s="45">
        <v>11</v>
      </c>
      <c r="AM14" s="45">
        <v>10.35</v>
      </c>
      <c r="AN14" s="45">
        <v>-0.8</v>
      </c>
      <c r="AO14" s="46">
        <v>11.1</v>
      </c>
      <c r="AP14" s="45">
        <v>15</v>
      </c>
      <c r="AQ14" s="44">
        <v>14.9</v>
      </c>
      <c r="AR14" s="45">
        <v>14.989000000000001</v>
      </c>
      <c r="AS14" s="46">
        <v>20.399999999999999</v>
      </c>
      <c r="AT14" s="45">
        <v>22.622</v>
      </c>
      <c r="AU14" s="44">
        <v>16.465</v>
      </c>
      <c r="AV14" s="45">
        <v>21.2</v>
      </c>
      <c r="AW14" s="46">
        <v>26.2</v>
      </c>
      <c r="AX14" s="44">
        <v>39.072000000000003</v>
      </c>
      <c r="AY14" s="44">
        <v>34.729999999999997</v>
      </c>
      <c r="AZ14" s="44">
        <v>34.405999999999999</v>
      </c>
      <c r="BA14" s="48">
        <v>38.984999999999999</v>
      </c>
      <c r="BB14" s="44">
        <v>33.720999999999997</v>
      </c>
      <c r="BC14" s="44">
        <v>32.692</v>
      </c>
      <c r="BD14" s="44">
        <v>38.408000000000001</v>
      </c>
      <c r="BE14" s="48">
        <v>46.697000000000003</v>
      </c>
      <c r="BF14" s="44">
        <v>45.103000000000002</v>
      </c>
      <c r="BG14" s="44">
        <v>36.871000000000002</v>
      </c>
      <c r="BH14" s="44">
        <v>34.445999999999998</v>
      </c>
      <c r="BI14" s="48">
        <v>45.94</v>
      </c>
      <c r="BJ14" s="44">
        <v>48.933</v>
      </c>
      <c r="BK14" s="44">
        <v>42.642000000000003</v>
      </c>
      <c r="BL14" s="44">
        <v>42.862000000000002</v>
      </c>
      <c r="BM14" s="48">
        <v>43.543999999999997</v>
      </c>
      <c r="BN14" s="44">
        <v>109.134</v>
      </c>
      <c r="BO14" s="44">
        <v>42.908999999999999</v>
      </c>
      <c r="BP14" s="44">
        <v>42.392000000000003</v>
      </c>
      <c r="BQ14" s="48">
        <v>48.598999999999997</v>
      </c>
      <c r="BR14" s="44">
        <v>104.8</v>
      </c>
      <c r="BS14" s="48">
        <v>117.35</v>
      </c>
      <c r="BT14" s="49"/>
      <c r="BU14" s="50">
        <f>SUM(B14:E14)</f>
        <v>2.1789999999999998</v>
      </c>
      <c r="BV14" s="50">
        <f>SUM(F14:I14)</f>
        <v>-3.24</v>
      </c>
      <c r="BW14" s="50">
        <f>SUM(J14:M14)</f>
        <v>5.2089999999999996</v>
      </c>
      <c r="BX14" s="50">
        <f>SUM(N14:Q14)</f>
        <v>5.8000000000000007</v>
      </c>
      <c r="BY14" s="50">
        <f>SUM(R14:U14)</f>
        <v>23.7</v>
      </c>
      <c r="BZ14" s="50">
        <f>SUM(V14:Y14)</f>
        <v>11.700000000000001</v>
      </c>
      <c r="CA14" s="50">
        <f>SUM(Z14:AC14)</f>
        <v>36.700000000000003</v>
      </c>
      <c r="CB14" s="50">
        <f>SUM(AD14:AG14)</f>
        <v>43.701000000000001</v>
      </c>
      <c r="CC14" s="51">
        <f>SUM(AH14:AK14)</f>
        <v>31.6</v>
      </c>
      <c r="CD14" s="51">
        <f>SUM(AL14:AO14)</f>
        <v>31.65</v>
      </c>
      <c r="CE14" s="51">
        <f>SUM(AP14:AS14)</f>
        <v>65.288999999999987</v>
      </c>
      <c r="CF14" s="51">
        <f>SUM(AT14:AW14)</f>
        <v>86.487000000000009</v>
      </c>
      <c r="CG14" s="51">
        <f>SUM(AX14:BA14)</f>
        <v>147.19299999999998</v>
      </c>
      <c r="CH14" s="51">
        <f>SUM(BB14:BE14)</f>
        <v>151.518</v>
      </c>
      <c r="CI14" s="51">
        <f>SUM(BF14:BI14)</f>
        <v>162.36000000000001</v>
      </c>
      <c r="CJ14" s="51">
        <f>SUM(BJ14:BM14)</f>
        <v>177.98099999999999</v>
      </c>
      <c r="CK14" s="51">
        <f>SUM(BN14:BQ14)</f>
        <v>243.03399999999999</v>
      </c>
    </row>
    <row r="15" spans="1:89" x14ac:dyDescent="0.15">
      <c r="A15" s="53" t="s">
        <v>143</v>
      </c>
      <c r="B15" s="44">
        <v>4.8</v>
      </c>
      <c r="C15" s="45">
        <v>5.2</v>
      </c>
      <c r="D15" s="44">
        <v>4.7</v>
      </c>
      <c r="E15" s="46">
        <v>4.9790000000000001</v>
      </c>
      <c r="F15" s="44">
        <v>5.5</v>
      </c>
      <c r="G15" s="45">
        <v>5.5</v>
      </c>
      <c r="H15" s="44">
        <v>5.4</v>
      </c>
      <c r="I15" s="46">
        <v>6.9440000000000026</v>
      </c>
      <c r="J15" s="44">
        <v>6.5</v>
      </c>
      <c r="K15" s="45">
        <v>6.9</v>
      </c>
      <c r="L15" s="44">
        <v>6.4</v>
      </c>
      <c r="M15" s="46">
        <v>6.9729999999999972</v>
      </c>
      <c r="N15" s="44">
        <v>7.8</v>
      </c>
      <c r="O15" s="45">
        <v>8.1999999999999993</v>
      </c>
      <c r="P15" s="44">
        <v>7.6</v>
      </c>
      <c r="Q15" s="46">
        <v>8.6</v>
      </c>
      <c r="R15" s="44">
        <v>8.8000000000000007</v>
      </c>
      <c r="S15" s="45">
        <v>8.4</v>
      </c>
      <c r="T15" s="44">
        <v>4.8</v>
      </c>
      <c r="U15" s="46">
        <v>7</v>
      </c>
      <c r="V15" s="45">
        <v>8.4</v>
      </c>
      <c r="W15" s="45">
        <v>7.7</v>
      </c>
      <c r="X15" s="45">
        <v>7</v>
      </c>
      <c r="Y15" s="46">
        <v>8</v>
      </c>
      <c r="Z15" s="45">
        <v>9.3000000000000007</v>
      </c>
      <c r="AA15" s="45">
        <v>9.9</v>
      </c>
      <c r="AB15" s="45">
        <v>69.2</v>
      </c>
      <c r="AC15" s="46">
        <v>26.5</v>
      </c>
      <c r="AD15" s="45">
        <v>19.899999999999999</v>
      </c>
      <c r="AE15" s="45">
        <v>12.6</v>
      </c>
      <c r="AF15" s="45">
        <v>7.8419999999999996</v>
      </c>
      <c r="AG15" s="46">
        <v>111.56</v>
      </c>
      <c r="AH15" s="45">
        <v>10</v>
      </c>
      <c r="AI15" s="45">
        <v>17.600000000000001</v>
      </c>
      <c r="AJ15" s="45">
        <v>3.8</v>
      </c>
      <c r="AK15" s="46">
        <v>13.7</v>
      </c>
      <c r="AL15" s="45">
        <v>9.4</v>
      </c>
      <c r="AM15" s="45">
        <v>10.16</v>
      </c>
      <c r="AN15" s="45">
        <v>8.6999999999999993</v>
      </c>
      <c r="AO15" s="46">
        <v>13.7</v>
      </c>
      <c r="AP15" s="45">
        <v>8.8000000000000007</v>
      </c>
      <c r="AQ15" s="44">
        <v>12.9</v>
      </c>
      <c r="AR15" s="45">
        <v>7.9409999999999998</v>
      </c>
      <c r="AS15" s="46">
        <v>8.3000000000000007</v>
      </c>
      <c r="AT15" s="45">
        <v>11.737</v>
      </c>
      <c r="AU15" s="44">
        <v>11.266999999999999</v>
      </c>
      <c r="AV15" s="45">
        <v>9.1999999999999993</v>
      </c>
      <c r="AW15" s="46">
        <v>10.4</v>
      </c>
      <c r="AX15" s="44">
        <v>13.093</v>
      </c>
      <c r="AY15" s="44">
        <v>14.269</v>
      </c>
      <c r="AZ15" s="44">
        <v>10.317</v>
      </c>
      <c r="BA15" s="48">
        <v>21.962</v>
      </c>
      <c r="BB15" s="44">
        <v>13.707000000000001</v>
      </c>
      <c r="BC15" s="44">
        <v>22.398</v>
      </c>
      <c r="BD15" s="44">
        <v>7.7619999999999996</v>
      </c>
      <c r="BE15" s="48">
        <v>7.6189999999999998</v>
      </c>
      <c r="BF15" s="44">
        <v>14.081</v>
      </c>
      <c r="BG15" s="44">
        <v>15.996</v>
      </c>
      <c r="BH15" s="44">
        <v>8.8119999999999994</v>
      </c>
      <c r="BI15" s="48">
        <v>16.013999999999999</v>
      </c>
      <c r="BJ15" s="44">
        <v>15.843</v>
      </c>
      <c r="BK15" s="44">
        <v>17.187999999999999</v>
      </c>
      <c r="BL15" s="44">
        <v>4.9550000000000001</v>
      </c>
      <c r="BM15" s="48">
        <v>20.93</v>
      </c>
      <c r="BN15" s="44">
        <v>15.243</v>
      </c>
      <c r="BO15" s="44">
        <v>16.902000000000001</v>
      </c>
      <c r="BP15" s="44">
        <v>14.37</v>
      </c>
      <c r="BQ15" s="48">
        <v>23.14</v>
      </c>
      <c r="BR15" s="44">
        <v>11.337999999999999</v>
      </c>
      <c r="BS15" s="48">
        <v>17.808</v>
      </c>
      <c r="BT15" s="49"/>
      <c r="BU15" s="50">
        <f>SUM(B15:E15)</f>
        <v>19.678999999999998</v>
      </c>
      <c r="BV15" s="50">
        <f>SUM(F15:I15)</f>
        <v>23.344000000000001</v>
      </c>
      <c r="BW15" s="50">
        <f>SUM(J15:M15)</f>
        <v>26.772999999999996</v>
      </c>
      <c r="BX15" s="50">
        <f>SUM(N15:Q15)</f>
        <v>32.200000000000003</v>
      </c>
      <c r="BY15" s="50">
        <f>SUM(R15:U15)</f>
        <v>29.000000000000004</v>
      </c>
      <c r="BZ15" s="50">
        <f>SUM(V15:Y15)</f>
        <v>31.1</v>
      </c>
      <c r="CA15" s="50">
        <f>SUM(Z15:AC15)</f>
        <v>114.9</v>
      </c>
      <c r="CB15" s="50">
        <f>SUM(AD15:AG15)</f>
        <v>151.90199999999999</v>
      </c>
      <c r="CC15" s="51">
        <f>SUM(AH15:AK15)</f>
        <v>45.1</v>
      </c>
      <c r="CD15" s="51">
        <f>SUM(AL15:AO15)</f>
        <v>41.96</v>
      </c>
      <c r="CE15" s="51">
        <f>SUM(AP15:AS15)</f>
        <v>37.941000000000003</v>
      </c>
      <c r="CF15" s="51">
        <f>SUM(AT15:AW15)</f>
        <v>42.603999999999992</v>
      </c>
      <c r="CG15" s="51">
        <f>SUM(AX15:BA15)</f>
        <v>59.641000000000005</v>
      </c>
      <c r="CH15" s="51">
        <f>SUM(BB15:BE15)</f>
        <v>51.486000000000004</v>
      </c>
      <c r="CI15" s="51">
        <f>SUM(BF15:BI15)</f>
        <v>54.902999999999992</v>
      </c>
      <c r="CJ15" s="51">
        <f>SUM(BJ15:BM15)</f>
        <v>58.915999999999997</v>
      </c>
      <c r="CK15" s="51">
        <f>SUM(BN15:BQ15)</f>
        <v>69.655000000000001</v>
      </c>
    </row>
    <row r="16" spans="1:89" x14ac:dyDescent="0.15">
      <c r="A16" s="38" t="s">
        <v>5</v>
      </c>
      <c r="B16" s="55">
        <f t="shared" ref="B16:BK16" si="6">+B8+B13+B14+B15</f>
        <v>40.9</v>
      </c>
      <c r="C16" s="55">
        <f t="shared" si="6"/>
        <v>41.2</v>
      </c>
      <c r="D16" s="55">
        <f t="shared" si="6"/>
        <v>53.900000000000006</v>
      </c>
      <c r="E16" s="56">
        <f t="shared" si="6"/>
        <v>54.66399999999998</v>
      </c>
      <c r="F16" s="55">
        <f t="shared" si="6"/>
        <v>87.2</v>
      </c>
      <c r="G16" s="55">
        <f t="shared" si="6"/>
        <v>59.500000000000007</v>
      </c>
      <c r="H16" s="55">
        <f t="shared" si="6"/>
        <v>57.4</v>
      </c>
      <c r="I16" s="56">
        <f t="shared" si="6"/>
        <v>76.441999999999979</v>
      </c>
      <c r="J16" s="55">
        <f t="shared" si="6"/>
        <v>89.700000000000017</v>
      </c>
      <c r="K16" s="55">
        <f t="shared" si="6"/>
        <v>93.200000000000017</v>
      </c>
      <c r="L16" s="55">
        <f t="shared" si="6"/>
        <v>119.30000000000001</v>
      </c>
      <c r="M16" s="56">
        <f t="shared" si="6"/>
        <v>131.94800000000001</v>
      </c>
      <c r="N16" s="55">
        <f t="shared" si="6"/>
        <v>174.10000000000002</v>
      </c>
      <c r="O16" s="55">
        <f t="shared" si="6"/>
        <v>176.5</v>
      </c>
      <c r="P16" s="55">
        <f t="shared" si="6"/>
        <v>138.69999999999999</v>
      </c>
      <c r="Q16" s="56">
        <f t="shared" si="6"/>
        <v>171.79999999999998</v>
      </c>
      <c r="R16" s="55">
        <f t="shared" si="6"/>
        <v>205.6</v>
      </c>
      <c r="S16" s="55">
        <f t="shared" si="6"/>
        <v>188.7</v>
      </c>
      <c r="T16" s="55">
        <f t="shared" si="6"/>
        <v>197.9</v>
      </c>
      <c r="U16" s="56">
        <f t="shared" si="6"/>
        <v>193.40000000000003</v>
      </c>
      <c r="V16" s="55">
        <f t="shared" si="6"/>
        <v>192.9</v>
      </c>
      <c r="W16" s="55">
        <f t="shared" si="6"/>
        <v>175.9</v>
      </c>
      <c r="X16" s="55">
        <f t="shared" si="6"/>
        <v>170</v>
      </c>
      <c r="Y16" s="56">
        <f t="shared" si="6"/>
        <v>164</v>
      </c>
      <c r="Z16" s="55">
        <f t="shared" si="6"/>
        <v>152.10000000000002</v>
      </c>
      <c r="AA16" s="55">
        <f t="shared" si="6"/>
        <v>191.00000000000003</v>
      </c>
      <c r="AB16" s="55">
        <f t="shared" si="6"/>
        <v>312</v>
      </c>
      <c r="AC16" s="56">
        <f t="shared" si="6"/>
        <v>265.89999999999998</v>
      </c>
      <c r="AD16" s="55">
        <f t="shared" si="6"/>
        <v>272.30000100000001</v>
      </c>
      <c r="AE16" s="55">
        <f t="shared" si="6"/>
        <v>255.93327999999997</v>
      </c>
      <c r="AF16" s="55">
        <f t="shared" si="6"/>
        <v>200.44885066000001</v>
      </c>
      <c r="AG16" s="56">
        <f t="shared" si="6"/>
        <v>348.16253700999999</v>
      </c>
      <c r="AH16" s="55">
        <f t="shared" si="6"/>
        <v>289.67750000000001</v>
      </c>
      <c r="AI16" s="55">
        <f t="shared" si="6"/>
        <v>251.20750000999999</v>
      </c>
      <c r="AJ16" s="55">
        <f t="shared" si="6"/>
        <v>275.42462342999994</v>
      </c>
      <c r="AK16" s="56">
        <f t="shared" si="6"/>
        <v>265.80750001000001</v>
      </c>
      <c r="AL16" s="55">
        <f t="shared" si="6"/>
        <v>263.72140000000002</v>
      </c>
      <c r="AM16" s="55">
        <f t="shared" si="6"/>
        <v>230.58139999999997</v>
      </c>
      <c r="AN16" s="55">
        <f t="shared" si="6"/>
        <v>209.80273495999998</v>
      </c>
      <c r="AO16" s="56">
        <f t="shared" si="6"/>
        <v>226.22133999999997</v>
      </c>
      <c r="AP16" s="55">
        <f t="shared" si="6"/>
        <v>242.78500000000003</v>
      </c>
      <c r="AQ16" s="55">
        <f t="shared" si="6"/>
        <v>237.33092800000003</v>
      </c>
      <c r="AR16" s="55">
        <f t="shared" si="6"/>
        <v>241.24590700000002</v>
      </c>
      <c r="AS16" s="56">
        <f t="shared" si="6"/>
        <v>261.89165500000001</v>
      </c>
      <c r="AT16" s="55">
        <f t="shared" si="6"/>
        <v>281.78100000000001</v>
      </c>
      <c r="AU16" s="55">
        <f t="shared" si="6"/>
        <v>258.63800000000003</v>
      </c>
      <c r="AV16" s="55">
        <f t="shared" si="6"/>
        <v>260.89999999999998</v>
      </c>
      <c r="AW16" s="56">
        <f t="shared" si="6"/>
        <v>284.55199999999996</v>
      </c>
      <c r="AX16" s="55">
        <f t="shared" si="6"/>
        <v>327.64282200000002</v>
      </c>
      <c r="AY16" s="55">
        <f t="shared" si="6"/>
        <v>297.63522599999999</v>
      </c>
      <c r="AZ16" s="55">
        <f t="shared" si="6"/>
        <v>290.41449236</v>
      </c>
      <c r="BA16" s="56">
        <f t="shared" si="6"/>
        <v>322.366491</v>
      </c>
      <c r="BB16" s="55">
        <f t="shared" si="6"/>
        <v>298.86831165000001</v>
      </c>
      <c r="BC16" s="55">
        <f t="shared" si="6"/>
        <v>293.49668800000006</v>
      </c>
      <c r="BD16" s="55">
        <f t="shared" si="6"/>
        <v>289.64</v>
      </c>
      <c r="BE16" s="56">
        <f t="shared" si="6"/>
        <v>314.01800000000003</v>
      </c>
      <c r="BF16" s="55">
        <f t="shared" si="6"/>
        <v>323.79600000000005</v>
      </c>
      <c r="BG16" s="55">
        <f t="shared" si="6"/>
        <v>296.84999999999997</v>
      </c>
      <c r="BH16" s="55">
        <f t="shared" si="6"/>
        <v>290.33199999999999</v>
      </c>
      <c r="BI16" s="56">
        <f t="shared" si="6"/>
        <v>333.05799999999999</v>
      </c>
      <c r="BJ16" s="55">
        <f t="shared" si="6"/>
        <v>340.82099999999997</v>
      </c>
      <c r="BK16" s="55">
        <f t="shared" si="6"/>
        <v>316.63900000000001</v>
      </c>
      <c r="BL16" s="55">
        <f>+BL8+BL13+BL14+BL15</f>
        <v>305.43400000000003</v>
      </c>
      <c r="BM16" s="56">
        <f>+BM8+BM13+BM14+BM15</f>
        <v>347.52</v>
      </c>
      <c r="BN16" s="55">
        <f t="shared" ref="BN16:BS16" si="7">+BN8+BN13+BN14+BN15</f>
        <v>402.54599999999999</v>
      </c>
      <c r="BO16" s="55">
        <f t="shared" si="7"/>
        <v>371.19599999999997</v>
      </c>
      <c r="BP16" s="55">
        <f t="shared" si="7"/>
        <v>371.43799999999999</v>
      </c>
      <c r="BQ16" s="56">
        <f t="shared" si="7"/>
        <v>428.17899999999992</v>
      </c>
      <c r="BR16" s="55">
        <f t="shared" si="7"/>
        <v>644.23199999999986</v>
      </c>
      <c r="BS16" s="56">
        <f t="shared" si="7"/>
        <v>650.28800000000001</v>
      </c>
      <c r="BT16" s="57"/>
      <c r="BU16" s="58">
        <f>+BU8+BU13+BU14+BU15</f>
        <v>190.66400000000002</v>
      </c>
      <c r="BV16" s="58">
        <f t="shared" ref="BV16:CF16" si="8">+BV8+BV13+BV14+BV15</f>
        <v>280.54199999999997</v>
      </c>
      <c r="BW16" s="58">
        <f t="shared" si="8"/>
        <v>434.14800000000002</v>
      </c>
      <c r="BX16" s="58">
        <f t="shared" si="8"/>
        <v>661.09999999999991</v>
      </c>
      <c r="BY16" s="58">
        <f t="shared" si="8"/>
        <v>785.60000000000014</v>
      </c>
      <c r="BZ16" s="58">
        <f t="shared" si="8"/>
        <v>702.8000000000003</v>
      </c>
      <c r="CA16" s="58">
        <f t="shared" si="8"/>
        <v>920.99999999999989</v>
      </c>
      <c r="CB16" s="58">
        <f t="shared" si="8"/>
        <v>1076.8446686699999</v>
      </c>
      <c r="CC16" s="59">
        <f t="shared" si="8"/>
        <v>1082.11712345</v>
      </c>
      <c r="CD16" s="59">
        <f t="shared" si="8"/>
        <v>930.32687496000005</v>
      </c>
      <c r="CE16" s="59">
        <f t="shared" si="8"/>
        <v>983.25348999999994</v>
      </c>
      <c r="CF16" s="59">
        <f t="shared" si="8"/>
        <v>1085.8710000000001</v>
      </c>
      <c r="CG16" s="59">
        <f>+CG8+CG13+CG14+CG15</f>
        <v>1238.0590313600001</v>
      </c>
      <c r="CH16" s="59">
        <f>+CH8+CH13+CH14+CH15</f>
        <v>1196.0229996500002</v>
      </c>
      <c r="CI16" s="59">
        <f>+CI8+CI13+CI14+CI15</f>
        <v>1244.0360000000003</v>
      </c>
      <c r="CJ16" s="59">
        <f>+CJ8+CJ13+CJ14+CJ15</f>
        <v>1310.4139999999998</v>
      </c>
      <c r="CK16" s="59">
        <f>+CK8+CK13+CK14+CK15</f>
        <v>1573.3590000000002</v>
      </c>
    </row>
    <row r="17" spans="1:89" x14ac:dyDescent="0.15">
      <c r="B17" s="44"/>
      <c r="C17" s="44"/>
      <c r="D17" s="44"/>
      <c r="E17" s="48"/>
      <c r="F17" s="44"/>
      <c r="G17" s="44"/>
      <c r="H17" s="44"/>
      <c r="I17" s="48"/>
      <c r="J17" s="44"/>
      <c r="K17" s="44"/>
      <c r="L17" s="44"/>
      <c r="M17" s="48"/>
      <c r="N17" s="44"/>
      <c r="O17" s="44"/>
      <c r="P17" s="44"/>
      <c r="Q17" s="48"/>
      <c r="R17" s="44"/>
      <c r="S17" s="44"/>
      <c r="T17" s="44"/>
      <c r="U17" s="48"/>
      <c r="V17" s="44"/>
      <c r="W17" s="44"/>
      <c r="X17" s="44"/>
      <c r="Y17" s="48"/>
      <c r="Z17" s="44"/>
      <c r="AA17" s="44"/>
      <c r="AB17" s="44"/>
      <c r="AC17" s="48"/>
      <c r="AD17" s="44"/>
      <c r="AE17" s="44"/>
      <c r="AF17" s="44"/>
      <c r="AG17" s="48"/>
      <c r="AH17" s="44"/>
      <c r="AI17" s="44"/>
      <c r="AJ17" s="44"/>
      <c r="AK17" s="48"/>
      <c r="AL17" s="44"/>
      <c r="AM17" s="44"/>
      <c r="AN17" s="44"/>
      <c r="AO17" s="48"/>
      <c r="AP17" s="44"/>
      <c r="AQ17" s="44"/>
      <c r="AR17" s="44"/>
      <c r="AS17" s="48"/>
      <c r="AT17" s="44"/>
      <c r="AU17" s="44"/>
      <c r="AV17" s="44"/>
      <c r="AW17" s="48"/>
      <c r="AX17" s="44"/>
      <c r="AY17" s="65"/>
      <c r="AZ17" s="65"/>
      <c r="BA17" s="66"/>
      <c r="BB17" s="65"/>
      <c r="BC17" s="65"/>
      <c r="BD17" s="65"/>
      <c r="BE17" s="66"/>
      <c r="BF17" s="65"/>
      <c r="BG17" s="67"/>
      <c r="BH17" s="65"/>
      <c r="BI17" s="66"/>
      <c r="BJ17" s="65"/>
      <c r="BK17" s="67"/>
      <c r="BL17" s="65"/>
      <c r="BM17" s="66"/>
      <c r="BN17" s="65"/>
      <c r="BO17" s="67"/>
      <c r="BP17" s="65"/>
      <c r="BQ17" s="66"/>
      <c r="BR17" s="65"/>
      <c r="BS17" s="66"/>
      <c r="BT17" s="49"/>
      <c r="BU17" s="50"/>
      <c r="BV17" s="50"/>
      <c r="BW17" s="50"/>
      <c r="BX17" s="50"/>
      <c r="BY17" s="50"/>
      <c r="BZ17" s="50"/>
      <c r="CA17" s="50"/>
      <c r="CB17" s="50"/>
      <c r="CC17" s="51"/>
      <c r="CD17" s="51"/>
      <c r="CE17" s="51"/>
      <c r="CF17" s="51"/>
      <c r="CG17" s="51"/>
      <c r="CH17" s="68"/>
      <c r="CI17" s="68"/>
      <c r="CJ17" s="68"/>
      <c r="CK17" s="68"/>
    </row>
    <row r="18" spans="1:89" x14ac:dyDescent="0.15">
      <c r="A18" s="53" t="s">
        <v>6</v>
      </c>
      <c r="B18" s="44">
        <v>-28.4</v>
      </c>
      <c r="C18" s="45">
        <v>-27.1</v>
      </c>
      <c r="D18" s="44">
        <v>-27.1</v>
      </c>
      <c r="E18" s="46">
        <v>-27.340000000000003</v>
      </c>
      <c r="F18" s="44">
        <v>-29.8</v>
      </c>
      <c r="G18" s="45">
        <v>-29.5</v>
      </c>
      <c r="H18" s="44">
        <v>-29.2</v>
      </c>
      <c r="I18" s="46">
        <v>-36.268000000000001</v>
      </c>
      <c r="J18" s="44">
        <v>-44</v>
      </c>
      <c r="K18" s="45">
        <v>-45.9</v>
      </c>
      <c r="L18" s="44">
        <v>-45.4</v>
      </c>
      <c r="M18" s="46">
        <v>-38.173000000000002</v>
      </c>
      <c r="N18" s="44">
        <v>-48.6</v>
      </c>
      <c r="O18" s="45">
        <v>-61.9</v>
      </c>
      <c r="P18" s="44">
        <v>-62.7</v>
      </c>
      <c r="Q18" s="46">
        <v>-67.400000000000006</v>
      </c>
      <c r="R18" s="44">
        <v>-70.599999999999994</v>
      </c>
      <c r="S18" s="45">
        <v>-74.099999999999994</v>
      </c>
      <c r="T18" s="44">
        <v>-82.7</v>
      </c>
      <c r="U18" s="46">
        <v>-124.7</v>
      </c>
      <c r="V18" s="45">
        <v>-103.6</v>
      </c>
      <c r="W18" s="45">
        <v>-106.3</v>
      </c>
      <c r="X18" s="45">
        <v>-86.4</v>
      </c>
      <c r="Y18" s="46">
        <v>-93.5</v>
      </c>
      <c r="Z18" s="45">
        <v>-93.1</v>
      </c>
      <c r="AA18" s="45">
        <v>-100.3</v>
      </c>
      <c r="AB18" s="45">
        <v>-146.1</v>
      </c>
      <c r="AC18" s="46">
        <v>-177.7</v>
      </c>
      <c r="AD18" s="44">
        <v>-159.70000099999999</v>
      </c>
      <c r="AE18" s="44">
        <v>-148.73328000000001</v>
      </c>
      <c r="AF18" s="44">
        <v>-144.36585066000001</v>
      </c>
      <c r="AG18" s="48">
        <v>-197.27253701000001</v>
      </c>
      <c r="AH18" s="44">
        <v>-149.00749999999999</v>
      </c>
      <c r="AI18" s="44">
        <v>-144.80750000999998</v>
      </c>
      <c r="AJ18" s="44">
        <v>-133.42462343</v>
      </c>
      <c r="AK18" s="48">
        <v>-139.07750000999999</v>
      </c>
      <c r="AL18" s="44">
        <v>-134.57139999999998</v>
      </c>
      <c r="AM18" s="44">
        <v>-138.4014</v>
      </c>
      <c r="AN18" s="44">
        <v>-141.90273496</v>
      </c>
      <c r="AO18" s="48">
        <v>-139.32134000000002</v>
      </c>
      <c r="AP18" s="44">
        <v>-135.08500000000001</v>
      </c>
      <c r="AQ18" s="44">
        <v>-131.63092799999998</v>
      </c>
      <c r="AR18" s="44">
        <v>-134.801907</v>
      </c>
      <c r="AS18" s="48">
        <v>-142.49165500000001</v>
      </c>
      <c r="AT18" s="44">
        <v>-146.03299999999999</v>
      </c>
      <c r="AU18" s="44">
        <v>-147.31399999999999</v>
      </c>
      <c r="AV18" s="44">
        <v>-145.68899999999999</v>
      </c>
      <c r="AW18" s="48">
        <v>-151.68100000000001</v>
      </c>
      <c r="AX18" s="44">
        <v>-148.18382200000002</v>
      </c>
      <c r="AY18" s="44">
        <v>-154.29422600000001</v>
      </c>
      <c r="AZ18" s="44">
        <v>-156.15249236</v>
      </c>
      <c r="BA18" s="48">
        <v>-169.105491</v>
      </c>
      <c r="BB18" s="44">
        <v>-162.47631164999999</v>
      </c>
      <c r="BC18" s="44">
        <v>-166.733688</v>
      </c>
      <c r="BD18" s="44">
        <v>-169.74299999999999</v>
      </c>
      <c r="BE18" s="48">
        <v>-169.065</v>
      </c>
      <c r="BF18" s="44">
        <v>-202.50200000000001</v>
      </c>
      <c r="BG18" s="44">
        <v>-232.392</v>
      </c>
      <c r="BH18" s="44">
        <v>-190.39699999999999</v>
      </c>
      <c r="BI18" s="48">
        <v>-239.28700000000001</v>
      </c>
      <c r="BJ18" s="44">
        <v>-243.501</v>
      </c>
      <c r="BK18" s="44">
        <v>-231.274</v>
      </c>
      <c r="BL18" s="44">
        <v>-219.43100000000001</v>
      </c>
      <c r="BM18" s="48">
        <v>-255.43299999999999</v>
      </c>
      <c r="BN18" s="44">
        <v>-219.78399999999999</v>
      </c>
      <c r="BO18" s="44">
        <v>-227.631</v>
      </c>
      <c r="BP18" s="44">
        <v>-216.642</v>
      </c>
      <c r="BQ18" s="48">
        <v>-283.62700000000001</v>
      </c>
      <c r="BR18" s="44">
        <v>-210.20099999999999</v>
      </c>
      <c r="BS18" s="48">
        <v>-225.50800000000001</v>
      </c>
      <c r="BT18" s="49"/>
      <c r="BU18" s="50">
        <f>SUM(B18:E18)</f>
        <v>-109.94</v>
      </c>
      <c r="BV18" s="50">
        <f>SUM(F18:I18)</f>
        <v>-124.768</v>
      </c>
      <c r="BW18" s="50">
        <f>SUM(J18:M18)</f>
        <v>-173.47300000000001</v>
      </c>
      <c r="BX18" s="50">
        <f>SUM(N18:Q18)</f>
        <v>-240.6</v>
      </c>
      <c r="BY18" s="50">
        <f>SUM(R18:U18)</f>
        <v>-352.09999999999997</v>
      </c>
      <c r="BZ18" s="50">
        <f>SUM(V18:Y18)</f>
        <v>-389.79999999999995</v>
      </c>
      <c r="CA18" s="50">
        <f>SUM(Z18:AC18)</f>
        <v>-517.20000000000005</v>
      </c>
      <c r="CB18" s="50">
        <f>SUM(AD18:AG18)</f>
        <v>-650.07166867000001</v>
      </c>
      <c r="CC18" s="51">
        <f>SUM(AH18:AK18)</f>
        <v>-566.31712344999994</v>
      </c>
      <c r="CD18" s="51">
        <f>SUM(AL18:AO18)</f>
        <v>-554.19687496000006</v>
      </c>
      <c r="CE18" s="51">
        <f>SUM(AP18:AS18)</f>
        <v>-544.00949000000003</v>
      </c>
      <c r="CF18" s="51">
        <f>SUM(AT18:AW18)</f>
        <v>-590.71699999999998</v>
      </c>
      <c r="CG18" s="51">
        <f>SUM(AX18:BA18)</f>
        <v>-627.73603136000008</v>
      </c>
      <c r="CH18" s="51">
        <f>SUM(BB18:BE18)</f>
        <v>-668.01799964999998</v>
      </c>
      <c r="CI18" s="51">
        <f>SUM(BF18:BI18)</f>
        <v>-864.57799999999997</v>
      </c>
      <c r="CJ18" s="51">
        <f>SUM(BJ18:BM18)</f>
        <v>-949.63900000000001</v>
      </c>
      <c r="CK18" s="51">
        <f>SUM(BN18:BQ18)</f>
        <v>-947.68399999999997</v>
      </c>
    </row>
    <row r="19" spans="1:89" x14ac:dyDescent="0.15">
      <c r="A19" s="53" t="s">
        <v>7</v>
      </c>
      <c r="B19" s="44">
        <v>-7.7</v>
      </c>
      <c r="C19" s="45">
        <v>-7.1</v>
      </c>
      <c r="D19" s="44">
        <v>-7.4</v>
      </c>
      <c r="E19" s="46">
        <v>-7.3390000000000031</v>
      </c>
      <c r="F19" s="44">
        <v>-4.2</v>
      </c>
      <c r="G19" s="45">
        <v>-4.8</v>
      </c>
      <c r="H19" s="44">
        <v>-11.9</v>
      </c>
      <c r="I19" s="46">
        <v>-12.100000000000001</v>
      </c>
      <c r="J19" s="44">
        <v>-5.7</v>
      </c>
      <c r="K19" s="45">
        <v>-6.1</v>
      </c>
      <c r="L19" s="44">
        <v>-6.6</v>
      </c>
      <c r="M19" s="46">
        <v>-7.0059999999999976</v>
      </c>
      <c r="N19" s="44">
        <v>-7.9</v>
      </c>
      <c r="O19" s="45">
        <v>-8.1999999999999993</v>
      </c>
      <c r="P19" s="44">
        <v>-8</v>
      </c>
      <c r="Q19" s="46">
        <v>-12.3</v>
      </c>
      <c r="R19" s="44">
        <v>-11.6</v>
      </c>
      <c r="S19" s="45">
        <v>-12.7</v>
      </c>
      <c r="T19" s="44">
        <v>-14.5</v>
      </c>
      <c r="U19" s="46">
        <v>-19.7</v>
      </c>
      <c r="V19" s="45">
        <v>-15.8</v>
      </c>
      <c r="W19" s="45">
        <v>-20.3</v>
      </c>
      <c r="X19" s="45">
        <v>-16.2</v>
      </c>
      <c r="Y19" s="46">
        <v>-16.600000000000001</v>
      </c>
      <c r="Z19" s="45">
        <v>-16.5</v>
      </c>
      <c r="AA19" s="45">
        <v>-15.9</v>
      </c>
      <c r="AB19" s="45">
        <v>-23.2</v>
      </c>
      <c r="AC19" s="46">
        <v>-31.4</v>
      </c>
      <c r="AD19" s="45">
        <v>-27.2</v>
      </c>
      <c r="AE19" s="45">
        <v>-20.3</v>
      </c>
      <c r="AF19" s="45">
        <v>-19.5</v>
      </c>
      <c r="AG19" s="46">
        <v>-20.62</v>
      </c>
      <c r="AH19" s="45">
        <v>-18.600000000000001</v>
      </c>
      <c r="AI19" s="45">
        <v>-17.600000000000001</v>
      </c>
      <c r="AJ19" s="45">
        <v>-17.5</v>
      </c>
      <c r="AK19" s="46">
        <v>-15.65</v>
      </c>
      <c r="AL19" s="45">
        <v>-15.5</v>
      </c>
      <c r="AM19" s="45">
        <v>-15.85</v>
      </c>
      <c r="AN19" s="45">
        <v>-15.7</v>
      </c>
      <c r="AO19" s="46">
        <v>-16.100000000000001</v>
      </c>
      <c r="AP19" s="45">
        <v>-15.9</v>
      </c>
      <c r="AQ19" s="44">
        <v>-16.5</v>
      </c>
      <c r="AR19" s="45">
        <v>-17.094999999999999</v>
      </c>
      <c r="AS19" s="46">
        <v>-17</v>
      </c>
      <c r="AT19" s="45">
        <v>-17.422999999999998</v>
      </c>
      <c r="AU19" s="44">
        <v>-18.494</v>
      </c>
      <c r="AV19" s="45">
        <v>-19.8</v>
      </c>
      <c r="AW19" s="46">
        <v>-15.3</v>
      </c>
      <c r="AX19" s="44">
        <v>-19.475999999999999</v>
      </c>
      <c r="AY19" s="44">
        <v>-19.783999999999999</v>
      </c>
      <c r="AZ19" s="44">
        <v>-20.129000000000001</v>
      </c>
      <c r="BA19" s="48">
        <v>-20.190999999999999</v>
      </c>
      <c r="BB19" s="44">
        <v>-20.042999999999999</v>
      </c>
      <c r="BC19" s="44">
        <v>-20.475999999999999</v>
      </c>
      <c r="BD19" s="44">
        <v>-20.901</v>
      </c>
      <c r="BE19" s="48">
        <v>-21.45</v>
      </c>
      <c r="BF19" s="44">
        <v>-22.869</v>
      </c>
      <c r="BG19" s="44">
        <v>-23.03</v>
      </c>
      <c r="BH19" s="44">
        <v>-24.193000000000001</v>
      </c>
      <c r="BI19" s="48">
        <v>-20.366</v>
      </c>
      <c r="BJ19" s="44">
        <v>-24.227</v>
      </c>
      <c r="BK19" s="44">
        <v>-28.969000000000001</v>
      </c>
      <c r="BL19" s="44">
        <v>-24.527999999999999</v>
      </c>
      <c r="BM19" s="48">
        <v>-28.138999999999999</v>
      </c>
      <c r="BN19" s="44">
        <v>-37.960999999999999</v>
      </c>
      <c r="BO19" s="44">
        <v>-40.481999999999999</v>
      </c>
      <c r="BP19" s="44">
        <v>-47.508000000000003</v>
      </c>
      <c r="BQ19" s="48">
        <v>-48.383000000000003</v>
      </c>
      <c r="BR19" s="44">
        <v>-38.509</v>
      </c>
      <c r="BS19" s="48">
        <v>-39.274000000000001</v>
      </c>
      <c r="BT19" s="49"/>
      <c r="BU19" s="50">
        <f>SUM(B19:E19)</f>
        <v>-29.539000000000005</v>
      </c>
      <c r="BV19" s="50">
        <f>SUM(F19:I19)</f>
        <v>-33</v>
      </c>
      <c r="BW19" s="50">
        <f>SUM(J19:M19)</f>
        <v>-25.405999999999995</v>
      </c>
      <c r="BX19" s="50">
        <f>SUM(N19:Q19)</f>
        <v>-36.400000000000006</v>
      </c>
      <c r="BY19" s="50">
        <f>SUM(R19:U19)</f>
        <v>-58.5</v>
      </c>
      <c r="BZ19" s="50">
        <f>SUM(V19:Y19)</f>
        <v>-68.900000000000006</v>
      </c>
      <c r="CA19" s="50">
        <f>SUM(Z19:AC19)</f>
        <v>-87</v>
      </c>
      <c r="CB19" s="50">
        <f>SUM(AD19:AG19)</f>
        <v>-87.62</v>
      </c>
      <c r="CC19" s="51">
        <f>SUM(AH19:AK19)</f>
        <v>-69.350000000000009</v>
      </c>
      <c r="CD19" s="51">
        <f>SUM(AL19:AO19)</f>
        <v>-63.15</v>
      </c>
      <c r="CE19" s="51">
        <f>SUM(AP19:AS19)</f>
        <v>-66.495000000000005</v>
      </c>
      <c r="CF19" s="51">
        <f>SUM(AT19:AW19)</f>
        <v>-71.016999999999996</v>
      </c>
      <c r="CG19" s="51">
        <f>SUM(AX19:BA19)</f>
        <v>-79.58</v>
      </c>
      <c r="CH19" s="51">
        <f>SUM(BB19:BE19)</f>
        <v>-82.87</v>
      </c>
      <c r="CI19" s="51">
        <f>SUM(BF19:BI19)</f>
        <v>-90.457999999999998</v>
      </c>
      <c r="CJ19" s="51">
        <f>SUM(BJ19:BM19)</f>
        <v>-105.86299999999999</v>
      </c>
      <c r="CK19" s="51">
        <f>SUM(BN19:BQ19)</f>
        <v>-174.334</v>
      </c>
    </row>
    <row r="20" spans="1:89" x14ac:dyDescent="0.15">
      <c r="A20" s="53" t="s">
        <v>8</v>
      </c>
      <c r="B20" s="44">
        <v>-2.2000000000000002</v>
      </c>
      <c r="C20" s="45">
        <v>-2.6</v>
      </c>
      <c r="D20" s="44">
        <v>-2.2999999999999998</v>
      </c>
      <c r="E20" s="46">
        <v>-1.9729999999999999</v>
      </c>
      <c r="F20" s="44">
        <v>-3</v>
      </c>
      <c r="G20" s="45">
        <v>-4.7</v>
      </c>
      <c r="H20" s="44">
        <v>-5.4</v>
      </c>
      <c r="I20" s="46">
        <v>-8.4910000000000032</v>
      </c>
      <c r="J20" s="44">
        <v>-5.7</v>
      </c>
      <c r="K20" s="45">
        <v>-6.4</v>
      </c>
      <c r="L20" s="44">
        <v>-7</v>
      </c>
      <c r="M20" s="46">
        <v>-14.606000000000005</v>
      </c>
      <c r="N20" s="44">
        <v>-24.4</v>
      </c>
      <c r="O20" s="45">
        <v>-20.2</v>
      </c>
      <c r="P20" s="44">
        <v>-17</v>
      </c>
      <c r="Q20" s="46">
        <v>-30.3</v>
      </c>
      <c r="R20" s="44">
        <v>-25.7</v>
      </c>
      <c r="S20" s="45">
        <v>-23</v>
      </c>
      <c r="T20" s="44">
        <v>-19.600000000000001</v>
      </c>
      <c r="U20" s="46">
        <v>-27</v>
      </c>
      <c r="V20" s="45">
        <v>-22</v>
      </c>
      <c r="W20" s="45">
        <v>-11.5</v>
      </c>
      <c r="X20" s="45">
        <v>-8.1</v>
      </c>
      <c r="Y20" s="46">
        <v>-10.5</v>
      </c>
      <c r="Z20" s="45">
        <v>-9.5</v>
      </c>
      <c r="AA20" s="45">
        <v>-14.9</v>
      </c>
      <c r="AB20" s="45">
        <v>-15.1</v>
      </c>
      <c r="AC20" s="46">
        <v>-18.3</v>
      </c>
      <c r="AD20" s="45">
        <v>-14.7</v>
      </c>
      <c r="AE20" s="45">
        <v>-22.5</v>
      </c>
      <c r="AF20" s="45">
        <v>-12.8</v>
      </c>
      <c r="AG20" s="46">
        <v>-18.8</v>
      </c>
      <c r="AH20" s="45">
        <v>-11.1</v>
      </c>
      <c r="AI20" s="45">
        <v>-10.6</v>
      </c>
      <c r="AJ20" s="45">
        <v>-13.8</v>
      </c>
      <c r="AK20" s="46">
        <v>-18.59</v>
      </c>
      <c r="AL20" s="45">
        <v>-10.1</v>
      </c>
      <c r="AM20" s="45">
        <v>-11.6</v>
      </c>
      <c r="AN20" s="45">
        <v>-9.4</v>
      </c>
      <c r="AO20" s="46">
        <v>-9.9</v>
      </c>
      <c r="AP20" s="45">
        <v>-10.8</v>
      </c>
      <c r="AQ20" s="44">
        <v>-9.6</v>
      </c>
      <c r="AR20" s="45">
        <v>-8.9510000000000005</v>
      </c>
      <c r="AS20" s="46">
        <v>-10.5</v>
      </c>
      <c r="AT20" s="45">
        <v>-12.179</v>
      </c>
      <c r="AU20" s="44">
        <v>-10.500999999999999</v>
      </c>
      <c r="AV20" s="45">
        <v>-10</v>
      </c>
      <c r="AW20" s="46">
        <v>-11.4</v>
      </c>
      <c r="AX20" s="44">
        <v>-11.906000000000001</v>
      </c>
      <c r="AY20" s="44">
        <v>-10.541</v>
      </c>
      <c r="AZ20" s="44">
        <v>-8.2349999999999994</v>
      </c>
      <c r="BA20" s="48">
        <v>-10.093</v>
      </c>
      <c r="BB20" s="44">
        <v>-18.876000000000001</v>
      </c>
      <c r="BC20" s="44">
        <v>-13.164</v>
      </c>
      <c r="BD20" s="44">
        <v>-7.6719999999999997</v>
      </c>
      <c r="BE20" s="48">
        <v>-8.5909999999999993</v>
      </c>
      <c r="BF20" s="44">
        <v>-14.968999999999999</v>
      </c>
      <c r="BG20" s="44">
        <v>-11.276999999999999</v>
      </c>
      <c r="BH20" s="44">
        <v>-13.92</v>
      </c>
      <c r="BI20" s="48">
        <v>-13.326000000000001</v>
      </c>
      <c r="BJ20" s="44">
        <v>-21.23</v>
      </c>
      <c r="BK20" s="44">
        <v>-17.315000000000001</v>
      </c>
      <c r="BL20" s="44">
        <v>-20.931999999999999</v>
      </c>
      <c r="BM20" s="48">
        <v>-18.260000000000002</v>
      </c>
      <c r="BN20" s="44">
        <v>-9.0909999999999993</v>
      </c>
      <c r="BO20" s="44">
        <v>-9.2780000000000005</v>
      </c>
      <c r="BP20" s="44">
        <v>-9.5530000000000008</v>
      </c>
      <c r="BQ20" s="48">
        <v>-12.356</v>
      </c>
      <c r="BR20" s="44">
        <v>-10.209</v>
      </c>
      <c r="BS20" s="48">
        <v>-6.3730000000000002</v>
      </c>
      <c r="BT20" s="49"/>
      <c r="BU20" s="50">
        <f>SUM(B20:E20)</f>
        <v>-9.0730000000000004</v>
      </c>
      <c r="BV20" s="50">
        <f>SUM(F20:I20)</f>
        <v>-21.591000000000005</v>
      </c>
      <c r="BW20" s="50">
        <f>SUM(J20:M20)</f>
        <v>-33.706000000000003</v>
      </c>
      <c r="BX20" s="50">
        <f>SUM(N20:Q20)</f>
        <v>-91.899999999999991</v>
      </c>
      <c r="BY20" s="50">
        <f>SUM(R20:U20)</f>
        <v>-95.300000000000011</v>
      </c>
      <c r="BZ20" s="50">
        <f>SUM(V20:Y20)</f>
        <v>-52.1</v>
      </c>
      <c r="CA20" s="50">
        <f>SUM(Z20:AC20)</f>
        <v>-57.8</v>
      </c>
      <c r="CB20" s="50">
        <f>SUM(AD20:AG20)</f>
        <v>-68.8</v>
      </c>
      <c r="CC20" s="51">
        <f>SUM(AH20:AK20)</f>
        <v>-54.09</v>
      </c>
      <c r="CD20" s="51">
        <f>SUM(AL20:AO20)</f>
        <v>-41</v>
      </c>
      <c r="CE20" s="51">
        <f>SUM(AP20:AS20)</f>
        <v>-39.850999999999999</v>
      </c>
      <c r="CF20" s="51">
        <f>SUM(AT20:AW20)</f>
        <v>-44.08</v>
      </c>
      <c r="CG20" s="51">
        <f>SUM(AX20:BA20)</f>
        <v>-40.775000000000006</v>
      </c>
      <c r="CH20" s="51">
        <f>SUM(BB20:BE20)</f>
        <v>-48.302999999999997</v>
      </c>
      <c r="CI20" s="51">
        <f>SUM(BF20:BI20)</f>
        <v>-53.491999999999997</v>
      </c>
      <c r="CJ20" s="51">
        <f>SUM(BJ20:BM20)</f>
        <v>-77.737000000000009</v>
      </c>
      <c r="CK20" s="51">
        <f>SUM(BN20:BQ20)</f>
        <v>-40.277999999999999</v>
      </c>
    </row>
    <row r="21" spans="1:89" x14ac:dyDescent="0.15">
      <c r="A21" s="53" t="s">
        <v>10</v>
      </c>
      <c r="B21" s="44">
        <v>-0.4</v>
      </c>
      <c r="C21" s="45">
        <v>-0.2</v>
      </c>
      <c r="D21" s="44">
        <v>-0.2</v>
      </c>
      <c r="E21" s="46">
        <v>-0.10599999999999998</v>
      </c>
      <c r="F21" s="44">
        <v>-0.2</v>
      </c>
      <c r="G21" s="45">
        <v>-0.1</v>
      </c>
      <c r="H21" s="44">
        <v>0</v>
      </c>
      <c r="I21" s="46">
        <v>0</v>
      </c>
      <c r="J21" s="44">
        <v>0</v>
      </c>
      <c r="K21" s="45">
        <v>0</v>
      </c>
      <c r="L21" s="44">
        <v>-1.3</v>
      </c>
      <c r="M21" s="46">
        <v>-0.16799999999999993</v>
      </c>
      <c r="N21" s="44">
        <v>0</v>
      </c>
      <c r="O21" s="45">
        <v>-0.4</v>
      </c>
      <c r="P21" s="44">
        <v>-0.1</v>
      </c>
      <c r="Q21" s="46">
        <v>0.4</v>
      </c>
      <c r="R21" s="44">
        <v>0.1</v>
      </c>
      <c r="S21" s="45">
        <v>-0.6</v>
      </c>
      <c r="T21" s="44">
        <v>0</v>
      </c>
      <c r="U21" s="46">
        <v>-0.5</v>
      </c>
      <c r="V21" s="45">
        <v>-0.2</v>
      </c>
      <c r="W21" s="45">
        <v>0</v>
      </c>
      <c r="X21" s="45">
        <v>-2.2999999999999998</v>
      </c>
      <c r="Y21" s="46">
        <v>-7</v>
      </c>
      <c r="Z21" s="45">
        <v>-0.5</v>
      </c>
      <c r="AA21" s="45">
        <v>0.1</v>
      </c>
      <c r="AB21" s="45">
        <v>-1.9</v>
      </c>
      <c r="AC21" s="46">
        <v>-3.9</v>
      </c>
      <c r="AD21" s="45">
        <v>0</v>
      </c>
      <c r="AE21" s="45">
        <v>0</v>
      </c>
      <c r="AF21" s="45">
        <v>-0.5</v>
      </c>
      <c r="AG21" s="46">
        <v>-9.6999999999999993</v>
      </c>
      <c r="AH21" s="69">
        <v>-11.66</v>
      </c>
      <c r="AI21" s="45">
        <v>-11.5</v>
      </c>
      <c r="AJ21" s="69">
        <v>-9.6999999999999993</v>
      </c>
      <c r="AK21" s="46">
        <v>-8.0519999999999996</v>
      </c>
      <c r="AL21" s="69">
        <v>-11</v>
      </c>
      <c r="AM21" s="45">
        <v>-11.8</v>
      </c>
      <c r="AN21" s="69">
        <v>-9.6999999999999993</v>
      </c>
      <c r="AO21" s="46">
        <v>-12.2</v>
      </c>
      <c r="AP21" s="69">
        <v>-10.5</v>
      </c>
      <c r="AQ21" s="44">
        <v>-11.5</v>
      </c>
      <c r="AR21" s="69">
        <v>-8.298</v>
      </c>
      <c r="AS21" s="46">
        <v>-8.5</v>
      </c>
      <c r="AT21" s="69">
        <v>-10.814</v>
      </c>
      <c r="AU21" s="44">
        <v>-11.603</v>
      </c>
      <c r="AV21" s="69">
        <v>-10.1</v>
      </c>
      <c r="AW21" s="46">
        <v>-10.5</v>
      </c>
      <c r="AX21" s="44">
        <v>-11.805999999999999</v>
      </c>
      <c r="AY21" s="44">
        <v>-11.766999999999999</v>
      </c>
      <c r="AZ21" s="44">
        <v>-8.0090000000000003</v>
      </c>
      <c r="BA21" s="48">
        <v>-9.7509999999999994</v>
      </c>
      <c r="BB21" s="44">
        <v>-8.3209999999999997</v>
      </c>
      <c r="BC21" s="44">
        <v>-6.2850000000000001</v>
      </c>
      <c r="BD21" s="44">
        <v>-7.3079999999999998</v>
      </c>
      <c r="BE21" s="48">
        <v>-7.1840000000000002</v>
      </c>
      <c r="BF21" s="44">
        <v>-9.5310000000000006</v>
      </c>
      <c r="BG21" s="44">
        <v>-9.202</v>
      </c>
      <c r="BH21" s="44">
        <v>-9.1630000000000003</v>
      </c>
      <c r="BI21" s="48">
        <v>-7.4050000000000002</v>
      </c>
      <c r="BJ21" s="44">
        <v>-9.9499999999999993</v>
      </c>
      <c r="BK21" s="44">
        <v>-9.7219999999999995</v>
      </c>
      <c r="BL21" s="44">
        <v>-11.619</v>
      </c>
      <c r="BM21" s="48">
        <v>-4.7110000000000003</v>
      </c>
      <c r="BN21" s="44">
        <v>-6.7480000000000002</v>
      </c>
      <c r="BO21" s="44">
        <v>-11.706</v>
      </c>
      <c r="BP21" s="44">
        <v>-5.4809999999999999</v>
      </c>
      <c r="BQ21" s="48">
        <v>-9.7100000000000009</v>
      </c>
      <c r="BR21" s="44">
        <v>-18.222999999999999</v>
      </c>
      <c r="BS21" s="48">
        <v>-10.004</v>
      </c>
      <c r="BT21" s="49"/>
      <c r="BU21" s="50">
        <f>SUM(B21:E21)</f>
        <v>-0.90600000000000003</v>
      </c>
      <c r="BV21" s="50">
        <f>SUM(F21:I21)</f>
        <v>-0.30000000000000004</v>
      </c>
      <c r="BW21" s="50">
        <f>SUM(J21:M21)</f>
        <v>-1.468</v>
      </c>
      <c r="BX21" s="50">
        <f>SUM(N21:Q21)</f>
        <v>-9.9999999999999978E-2</v>
      </c>
      <c r="BY21" s="50">
        <f>SUM(R21:U21)</f>
        <v>-1</v>
      </c>
      <c r="BZ21" s="50">
        <f>SUM(V21:Y21)</f>
        <v>-9.5</v>
      </c>
      <c r="CA21" s="50">
        <f>SUM(Z21:AC21)</f>
        <v>-6.1999999999999993</v>
      </c>
      <c r="CB21" s="50">
        <f>SUM(AD21:AG21)</f>
        <v>-10.199999999999999</v>
      </c>
      <c r="CC21" s="51">
        <f>SUM(AH21:AK21)</f>
        <v>-40.911999999999999</v>
      </c>
      <c r="CD21" s="51">
        <f>SUM(AL21:AO21)</f>
        <v>-44.7</v>
      </c>
      <c r="CE21" s="51">
        <f>SUM(AP21:AS21)</f>
        <v>-38.798000000000002</v>
      </c>
      <c r="CF21" s="51">
        <f>SUM(AT21:AW21)</f>
        <v>-43.017000000000003</v>
      </c>
      <c r="CG21" s="51">
        <f>SUM(AX21:BA21)</f>
        <v>-41.332999999999998</v>
      </c>
      <c r="CH21" s="51">
        <f>SUM(BB21:BE21)</f>
        <v>-29.098000000000003</v>
      </c>
      <c r="CI21" s="51">
        <f>SUM(BF21:BI21)</f>
        <v>-35.301000000000002</v>
      </c>
      <c r="CJ21" s="51">
        <f>SUM(BJ21:BM21)</f>
        <v>-36.001999999999995</v>
      </c>
      <c r="CK21" s="51">
        <f>SUM(BN21:BQ21)</f>
        <v>-33.645000000000003</v>
      </c>
    </row>
    <row r="22" spans="1:89" s="38" customFormat="1" x14ac:dyDescent="0.15">
      <c r="A22" s="38" t="s">
        <v>9</v>
      </c>
      <c r="B22" s="55">
        <f t="shared" ref="B22:BK22" si="9">SUM(B18:B21)</f>
        <v>-38.700000000000003</v>
      </c>
      <c r="C22" s="55">
        <f t="shared" si="9"/>
        <v>-37.000000000000007</v>
      </c>
      <c r="D22" s="55">
        <f t="shared" si="9"/>
        <v>-37</v>
      </c>
      <c r="E22" s="56">
        <f t="shared" si="9"/>
        <v>-36.75800000000001</v>
      </c>
      <c r="F22" s="55">
        <f t="shared" si="9"/>
        <v>-37.200000000000003</v>
      </c>
      <c r="G22" s="55">
        <f t="shared" si="9"/>
        <v>-39.1</v>
      </c>
      <c r="H22" s="55">
        <f t="shared" si="9"/>
        <v>-46.5</v>
      </c>
      <c r="I22" s="56">
        <f t="shared" si="9"/>
        <v>-56.859000000000009</v>
      </c>
      <c r="J22" s="55">
        <f t="shared" si="9"/>
        <v>-55.400000000000006</v>
      </c>
      <c r="K22" s="55">
        <f t="shared" si="9"/>
        <v>-58.4</v>
      </c>
      <c r="L22" s="55">
        <f t="shared" si="9"/>
        <v>-60.3</v>
      </c>
      <c r="M22" s="56">
        <f t="shared" si="9"/>
        <v>-59.95300000000001</v>
      </c>
      <c r="N22" s="55">
        <f t="shared" si="9"/>
        <v>-80.900000000000006</v>
      </c>
      <c r="O22" s="55">
        <f t="shared" si="9"/>
        <v>-90.7</v>
      </c>
      <c r="P22" s="55">
        <f t="shared" si="9"/>
        <v>-87.8</v>
      </c>
      <c r="Q22" s="56">
        <f t="shared" si="9"/>
        <v>-109.6</v>
      </c>
      <c r="R22" s="55">
        <f t="shared" si="9"/>
        <v>-107.8</v>
      </c>
      <c r="S22" s="55">
        <f t="shared" si="9"/>
        <v>-110.39999999999999</v>
      </c>
      <c r="T22" s="55">
        <f t="shared" si="9"/>
        <v>-116.80000000000001</v>
      </c>
      <c r="U22" s="56">
        <f t="shared" si="9"/>
        <v>-171.9</v>
      </c>
      <c r="V22" s="55">
        <f t="shared" si="9"/>
        <v>-141.59999999999997</v>
      </c>
      <c r="W22" s="55">
        <f t="shared" si="9"/>
        <v>-138.1</v>
      </c>
      <c r="X22" s="55">
        <f t="shared" si="9"/>
        <v>-113</v>
      </c>
      <c r="Y22" s="56">
        <f t="shared" si="9"/>
        <v>-127.6</v>
      </c>
      <c r="Z22" s="55">
        <f t="shared" si="9"/>
        <v>-119.6</v>
      </c>
      <c r="AA22" s="55">
        <f t="shared" si="9"/>
        <v>-131</v>
      </c>
      <c r="AB22" s="55">
        <f t="shared" si="9"/>
        <v>-186.29999999999998</v>
      </c>
      <c r="AC22" s="56">
        <f t="shared" si="9"/>
        <v>-231.3</v>
      </c>
      <c r="AD22" s="55">
        <f t="shared" si="9"/>
        <v>-201.60000099999996</v>
      </c>
      <c r="AE22" s="55">
        <f t="shared" si="9"/>
        <v>-191.53328000000002</v>
      </c>
      <c r="AF22" s="55">
        <f t="shared" si="9"/>
        <v>-177.16585066000002</v>
      </c>
      <c r="AG22" s="56">
        <f t="shared" si="9"/>
        <v>-246.39253701000001</v>
      </c>
      <c r="AH22" s="55">
        <f t="shared" si="9"/>
        <v>-190.36749999999998</v>
      </c>
      <c r="AI22" s="55">
        <f t="shared" si="9"/>
        <v>-184.50750000999997</v>
      </c>
      <c r="AJ22" s="55">
        <f t="shared" si="9"/>
        <v>-174.42462343</v>
      </c>
      <c r="AK22" s="56">
        <f t="shared" si="9"/>
        <v>-181.36950001</v>
      </c>
      <c r="AL22" s="55">
        <f t="shared" si="9"/>
        <v>-171.17139999999998</v>
      </c>
      <c r="AM22" s="55">
        <f t="shared" si="9"/>
        <v>-177.6514</v>
      </c>
      <c r="AN22" s="55">
        <f t="shared" si="9"/>
        <v>-176.70273495999999</v>
      </c>
      <c r="AO22" s="56">
        <f t="shared" si="9"/>
        <v>-177.52134000000001</v>
      </c>
      <c r="AP22" s="55">
        <f t="shared" si="9"/>
        <v>-172.28500000000003</v>
      </c>
      <c r="AQ22" s="55">
        <f t="shared" si="9"/>
        <v>-169.23092799999998</v>
      </c>
      <c r="AR22" s="55">
        <f t="shared" si="9"/>
        <v>-169.14590699999999</v>
      </c>
      <c r="AS22" s="56">
        <f t="shared" si="9"/>
        <v>-178.49165500000001</v>
      </c>
      <c r="AT22" s="55">
        <f t="shared" si="9"/>
        <v>-186.44899999999998</v>
      </c>
      <c r="AU22" s="55">
        <f t="shared" si="9"/>
        <v>-187.91200000000001</v>
      </c>
      <c r="AV22" s="55">
        <f t="shared" si="9"/>
        <v>-185.589</v>
      </c>
      <c r="AW22" s="56">
        <f t="shared" si="9"/>
        <v>-188.88100000000003</v>
      </c>
      <c r="AX22" s="55">
        <f t="shared" si="9"/>
        <v>-191.37182200000004</v>
      </c>
      <c r="AY22" s="55">
        <f t="shared" si="9"/>
        <v>-196.38622599999999</v>
      </c>
      <c r="AZ22" s="55">
        <f t="shared" si="9"/>
        <v>-192.52549235999999</v>
      </c>
      <c r="BA22" s="56">
        <f t="shared" si="9"/>
        <v>-209.140491</v>
      </c>
      <c r="BB22" s="55">
        <f t="shared" si="9"/>
        <v>-209.71631164999999</v>
      </c>
      <c r="BC22" s="55">
        <f t="shared" si="9"/>
        <v>-206.65868799999998</v>
      </c>
      <c r="BD22" s="55">
        <f t="shared" si="9"/>
        <v>-205.624</v>
      </c>
      <c r="BE22" s="56">
        <f t="shared" si="9"/>
        <v>-206.29</v>
      </c>
      <c r="BF22" s="55">
        <f t="shared" si="9"/>
        <v>-249.87100000000001</v>
      </c>
      <c r="BG22" s="55">
        <f t="shared" si="9"/>
        <v>-275.90100000000001</v>
      </c>
      <c r="BH22" s="55">
        <f t="shared" si="9"/>
        <v>-237.673</v>
      </c>
      <c r="BI22" s="56">
        <f t="shared" si="9"/>
        <v>-280.38400000000001</v>
      </c>
      <c r="BJ22" s="55">
        <f t="shared" si="9"/>
        <v>-298.90800000000002</v>
      </c>
      <c r="BK22" s="55">
        <f t="shared" si="9"/>
        <v>-287.27999999999997</v>
      </c>
      <c r="BL22" s="55">
        <f>SUM(BL18:BL21)</f>
        <v>-276.51</v>
      </c>
      <c r="BM22" s="56">
        <f>SUM(BM18:BM21)</f>
        <v>-306.54300000000001</v>
      </c>
      <c r="BN22" s="55">
        <f t="shared" ref="BN22:BS22" si="10">SUM(BN18:BN21)</f>
        <v>-273.584</v>
      </c>
      <c r="BO22" s="55">
        <f t="shared" si="10"/>
        <v>-289.09700000000004</v>
      </c>
      <c r="BP22" s="55">
        <f t="shared" si="10"/>
        <v>-279.18399999999997</v>
      </c>
      <c r="BQ22" s="56">
        <f t="shared" si="10"/>
        <v>-354.07599999999996</v>
      </c>
      <c r="BR22" s="55">
        <f t="shared" si="10"/>
        <v>-277.142</v>
      </c>
      <c r="BS22" s="56">
        <f t="shared" si="10"/>
        <v>-281.15900000000005</v>
      </c>
      <c r="BT22" s="57"/>
      <c r="BU22" s="58">
        <f>SUM(BU18:BU21)</f>
        <v>-149.45800000000003</v>
      </c>
      <c r="BV22" s="58">
        <f t="shared" ref="BV22:CF22" si="11">SUM(BV18:BV21)</f>
        <v>-179.65900000000002</v>
      </c>
      <c r="BW22" s="58">
        <f t="shared" si="11"/>
        <v>-234.05300000000003</v>
      </c>
      <c r="BX22" s="58">
        <f t="shared" si="11"/>
        <v>-369</v>
      </c>
      <c r="BY22" s="58">
        <f t="shared" si="11"/>
        <v>-506.9</v>
      </c>
      <c r="BZ22" s="58">
        <f t="shared" si="11"/>
        <v>-520.29999999999995</v>
      </c>
      <c r="CA22" s="58">
        <f t="shared" si="11"/>
        <v>-668.2</v>
      </c>
      <c r="CB22" s="58">
        <f t="shared" si="11"/>
        <v>-816.69166867000001</v>
      </c>
      <c r="CC22" s="59">
        <f t="shared" si="11"/>
        <v>-730.66912345000003</v>
      </c>
      <c r="CD22" s="59">
        <f t="shared" si="11"/>
        <v>-703.04687496000008</v>
      </c>
      <c r="CE22" s="59">
        <f t="shared" si="11"/>
        <v>-689.15349000000003</v>
      </c>
      <c r="CF22" s="59">
        <f t="shared" si="11"/>
        <v>-748.83100000000002</v>
      </c>
      <c r="CG22" s="59">
        <f>SUM(CG18:CG21)</f>
        <v>-789.42403136000007</v>
      </c>
      <c r="CH22" s="59">
        <f>SUM(CH18:CH21)</f>
        <v>-828.28899964999994</v>
      </c>
      <c r="CI22" s="59">
        <f>SUM(CI18:CI21)</f>
        <v>-1043.829</v>
      </c>
      <c r="CJ22" s="59">
        <f>SUM(CJ18:CJ21)</f>
        <v>-1169.241</v>
      </c>
      <c r="CK22" s="59">
        <f>SUM(CK18:CK21)</f>
        <v>-1195.941</v>
      </c>
    </row>
    <row r="23" spans="1:89" x14ac:dyDescent="0.15">
      <c r="A23" s="38"/>
      <c r="B23" s="44"/>
      <c r="C23" s="55"/>
      <c r="D23" s="44"/>
      <c r="E23" s="56"/>
      <c r="F23" s="44"/>
      <c r="G23" s="55"/>
      <c r="H23" s="44"/>
      <c r="I23" s="56"/>
      <c r="J23" s="44"/>
      <c r="K23" s="55"/>
      <c r="L23" s="44"/>
      <c r="M23" s="56"/>
      <c r="N23" s="44"/>
      <c r="O23" s="55"/>
      <c r="P23" s="44"/>
      <c r="Q23" s="56"/>
      <c r="R23" s="44"/>
      <c r="S23" s="55"/>
      <c r="T23" s="44"/>
      <c r="U23" s="56"/>
      <c r="V23" s="55"/>
      <c r="W23" s="55"/>
      <c r="X23" s="55"/>
      <c r="Y23" s="56"/>
      <c r="Z23" s="55"/>
      <c r="AA23" s="55"/>
      <c r="AB23" s="55"/>
      <c r="AC23" s="56"/>
      <c r="AD23" s="55"/>
      <c r="AE23" s="55"/>
      <c r="AF23" s="55"/>
      <c r="AG23" s="56"/>
      <c r="AH23" s="55"/>
      <c r="AI23" s="55"/>
      <c r="AJ23" s="55"/>
      <c r="AK23" s="56"/>
      <c r="AL23" s="55"/>
      <c r="AM23" s="55"/>
      <c r="AN23" s="55"/>
      <c r="AO23" s="56"/>
      <c r="AP23" s="55"/>
      <c r="AQ23" s="44"/>
      <c r="AR23" s="55"/>
      <c r="AS23" s="56"/>
      <c r="AT23" s="55"/>
      <c r="AU23" s="44"/>
      <c r="AV23" s="55"/>
      <c r="AW23" s="56"/>
      <c r="AX23" s="44"/>
      <c r="AY23" s="44"/>
      <c r="AZ23" s="44"/>
      <c r="BA23" s="48"/>
      <c r="BB23" s="44"/>
      <c r="BC23" s="65"/>
      <c r="BD23" s="65"/>
      <c r="BE23" s="66"/>
      <c r="BF23" s="44">
        <f>+BF22-BF21</f>
        <v>-240.34</v>
      </c>
      <c r="BG23" s="44">
        <f t="shared" ref="BG23:BS23" si="12">+BG22-BG21</f>
        <v>-266.69900000000001</v>
      </c>
      <c r="BH23" s="44">
        <f t="shared" si="12"/>
        <v>-228.51</v>
      </c>
      <c r="BI23" s="44">
        <f t="shared" si="12"/>
        <v>-272.97900000000004</v>
      </c>
      <c r="BJ23" s="44">
        <f t="shared" si="12"/>
        <v>-288.95800000000003</v>
      </c>
      <c r="BK23" s="44">
        <f t="shared" si="12"/>
        <v>-277.55799999999999</v>
      </c>
      <c r="BL23" s="44">
        <f t="shared" si="12"/>
        <v>-264.89099999999996</v>
      </c>
      <c r="BM23" s="44">
        <f t="shared" si="12"/>
        <v>-301.83199999999999</v>
      </c>
      <c r="BN23" s="44">
        <f t="shared" si="12"/>
        <v>-266.83600000000001</v>
      </c>
      <c r="BO23" s="44">
        <f t="shared" si="12"/>
        <v>-277.39100000000002</v>
      </c>
      <c r="BP23" s="44">
        <f t="shared" si="12"/>
        <v>-273.70299999999997</v>
      </c>
      <c r="BQ23" s="44">
        <f t="shared" si="12"/>
        <v>-344.36599999999999</v>
      </c>
      <c r="BR23" s="44">
        <f t="shared" si="12"/>
        <v>-258.91899999999998</v>
      </c>
      <c r="BS23" s="44">
        <f t="shared" si="12"/>
        <v>-271.15500000000003</v>
      </c>
      <c r="BT23" s="57"/>
      <c r="BU23" s="58"/>
      <c r="BV23" s="58"/>
      <c r="BW23" s="50"/>
      <c r="BX23" s="58"/>
      <c r="BY23" s="50"/>
      <c r="BZ23" s="58"/>
      <c r="CA23" s="50"/>
      <c r="CB23" s="58"/>
      <c r="CC23" s="51"/>
      <c r="CD23" s="59"/>
      <c r="CE23" s="51"/>
      <c r="CF23" s="51"/>
      <c r="CG23" s="51"/>
      <c r="CH23" s="51"/>
      <c r="CI23" s="51"/>
      <c r="CJ23" s="51"/>
      <c r="CK23" s="51"/>
    </row>
    <row r="24" spans="1:89" x14ac:dyDescent="0.15">
      <c r="A24" s="38" t="s">
        <v>11</v>
      </c>
      <c r="B24" s="55">
        <f t="shared" ref="B24:BK24" si="13">+B16+B22</f>
        <v>2.1999999999999957</v>
      </c>
      <c r="C24" s="55">
        <f t="shared" si="13"/>
        <v>4.1999999999999957</v>
      </c>
      <c r="D24" s="55">
        <f t="shared" si="13"/>
        <v>16.900000000000006</v>
      </c>
      <c r="E24" s="56">
        <f t="shared" si="13"/>
        <v>17.90599999999997</v>
      </c>
      <c r="F24" s="55">
        <f t="shared" si="13"/>
        <v>50</v>
      </c>
      <c r="G24" s="55">
        <f t="shared" si="13"/>
        <v>20.400000000000006</v>
      </c>
      <c r="H24" s="55">
        <f t="shared" si="13"/>
        <v>10.899999999999999</v>
      </c>
      <c r="I24" s="56">
        <f t="shared" si="13"/>
        <v>19.58299999999997</v>
      </c>
      <c r="J24" s="55">
        <f t="shared" si="13"/>
        <v>34.300000000000011</v>
      </c>
      <c r="K24" s="55">
        <f t="shared" si="13"/>
        <v>34.800000000000018</v>
      </c>
      <c r="L24" s="55">
        <f t="shared" si="13"/>
        <v>59.000000000000014</v>
      </c>
      <c r="M24" s="56">
        <f t="shared" si="13"/>
        <v>71.995000000000005</v>
      </c>
      <c r="N24" s="55">
        <f t="shared" si="13"/>
        <v>93.200000000000017</v>
      </c>
      <c r="O24" s="55">
        <f t="shared" si="13"/>
        <v>85.8</v>
      </c>
      <c r="P24" s="55">
        <f t="shared" si="13"/>
        <v>50.899999999999991</v>
      </c>
      <c r="Q24" s="56">
        <f t="shared" si="13"/>
        <v>62.199999999999989</v>
      </c>
      <c r="R24" s="55">
        <f t="shared" si="13"/>
        <v>97.8</v>
      </c>
      <c r="S24" s="55">
        <f t="shared" si="13"/>
        <v>78.3</v>
      </c>
      <c r="T24" s="55">
        <f t="shared" si="13"/>
        <v>81.099999999999994</v>
      </c>
      <c r="U24" s="56">
        <f t="shared" si="13"/>
        <v>21.500000000000028</v>
      </c>
      <c r="V24" s="55">
        <f t="shared" si="13"/>
        <v>51.30000000000004</v>
      </c>
      <c r="W24" s="55">
        <f t="shared" si="13"/>
        <v>37.800000000000011</v>
      </c>
      <c r="X24" s="55">
        <f t="shared" si="13"/>
        <v>57</v>
      </c>
      <c r="Y24" s="56">
        <f t="shared" si="13"/>
        <v>36.400000000000006</v>
      </c>
      <c r="Z24" s="55">
        <f t="shared" si="13"/>
        <v>32.500000000000028</v>
      </c>
      <c r="AA24" s="55">
        <f t="shared" si="13"/>
        <v>60.000000000000028</v>
      </c>
      <c r="AB24" s="55">
        <f t="shared" si="13"/>
        <v>125.70000000000002</v>
      </c>
      <c r="AC24" s="56">
        <f t="shared" si="13"/>
        <v>34.599999999999966</v>
      </c>
      <c r="AD24" s="55">
        <f t="shared" si="13"/>
        <v>70.700000000000045</v>
      </c>
      <c r="AE24" s="55">
        <f t="shared" si="13"/>
        <v>64.399999999999949</v>
      </c>
      <c r="AF24" s="55">
        <f t="shared" si="13"/>
        <v>23.282999999999987</v>
      </c>
      <c r="AG24" s="56">
        <f t="shared" si="13"/>
        <v>101.76999999999998</v>
      </c>
      <c r="AH24" s="55">
        <f t="shared" si="13"/>
        <v>99.310000000000031</v>
      </c>
      <c r="AI24" s="55">
        <f t="shared" si="13"/>
        <v>66.700000000000017</v>
      </c>
      <c r="AJ24" s="55">
        <f t="shared" si="13"/>
        <v>100.99999999999994</v>
      </c>
      <c r="AK24" s="56">
        <f t="shared" si="13"/>
        <v>84.438000000000017</v>
      </c>
      <c r="AL24" s="55">
        <f t="shared" si="13"/>
        <v>92.55000000000004</v>
      </c>
      <c r="AM24" s="55">
        <f t="shared" si="13"/>
        <v>52.929999999999978</v>
      </c>
      <c r="AN24" s="55">
        <f t="shared" si="13"/>
        <v>33.099999999999994</v>
      </c>
      <c r="AO24" s="56">
        <f t="shared" si="13"/>
        <v>48.69999999999996</v>
      </c>
      <c r="AP24" s="55">
        <f t="shared" si="13"/>
        <v>70.5</v>
      </c>
      <c r="AQ24" s="55">
        <f t="shared" si="13"/>
        <v>68.100000000000051</v>
      </c>
      <c r="AR24" s="55">
        <f t="shared" si="13"/>
        <v>72.100000000000023</v>
      </c>
      <c r="AS24" s="56">
        <f t="shared" si="13"/>
        <v>83.4</v>
      </c>
      <c r="AT24" s="55">
        <f t="shared" si="13"/>
        <v>95.332000000000022</v>
      </c>
      <c r="AU24" s="55">
        <f t="shared" si="13"/>
        <v>70.726000000000028</v>
      </c>
      <c r="AV24" s="55">
        <f t="shared" si="13"/>
        <v>75.310999999999979</v>
      </c>
      <c r="AW24" s="56">
        <f t="shared" si="13"/>
        <v>95.670999999999935</v>
      </c>
      <c r="AX24" s="55">
        <f t="shared" si="13"/>
        <v>136.27099999999999</v>
      </c>
      <c r="AY24" s="55">
        <f t="shared" si="13"/>
        <v>101.249</v>
      </c>
      <c r="AZ24" s="55">
        <f t="shared" si="13"/>
        <v>97.88900000000001</v>
      </c>
      <c r="BA24" s="56">
        <f t="shared" si="13"/>
        <v>113.226</v>
      </c>
      <c r="BB24" s="55">
        <f t="shared" si="13"/>
        <v>89.152000000000015</v>
      </c>
      <c r="BC24" s="55">
        <f t="shared" si="13"/>
        <v>86.838000000000079</v>
      </c>
      <c r="BD24" s="55">
        <f t="shared" si="13"/>
        <v>84.015999999999991</v>
      </c>
      <c r="BE24" s="56">
        <f t="shared" si="13"/>
        <v>107.72800000000004</v>
      </c>
      <c r="BF24" s="55">
        <f t="shared" si="13"/>
        <v>73.92500000000004</v>
      </c>
      <c r="BG24" s="55">
        <f t="shared" si="13"/>
        <v>20.948999999999955</v>
      </c>
      <c r="BH24" s="55">
        <f t="shared" si="13"/>
        <v>52.658999999999992</v>
      </c>
      <c r="BI24" s="56">
        <f t="shared" si="13"/>
        <v>52.673999999999978</v>
      </c>
      <c r="BJ24" s="55">
        <f t="shared" si="13"/>
        <v>41.912999999999954</v>
      </c>
      <c r="BK24" s="55">
        <f t="shared" si="13"/>
        <v>29.359000000000037</v>
      </c>
      <c r="BL24" s="55">
        <f>+BL16+BL22</f>
        <v>28.924000000000035</v>
      </c>
      <c r="BM24" s="56">
        <f>+BM16+BM22</f>
        <v>40.976999999999975</v>
      </c>
      <c r="BN24" s="55">
        <f t="shared" ref="BN24:BS24" si="14">+BN16+BN22</f>
        <v>128.96199999999999</v>
      </c>
      <c r="BO24" s="55">
        <f t="shared" si="14"/>
        <v>82.098999999999933</v>
      </c>
      <c r="BP24" s="55">
        <f t="shared" si="14"/>
        <v>92.254000000000019</v>
      </c>
      <c r="BQ24" s="56">
        <f t="shared" si="14"/>
        <v>74.102999999999952</v>
      </c>
      <c r="BR24" s="55">
        <f t="shared" si="14"/>
        <v>367.08999999999986</v>
      </c>
      <c r="BS24" s="56">
        <f t="shared" si="14"/>
        <v>369.12899999999996</v>
      </c>
      <c r="BT24" s="57"/>
      <c r="BU24" s="58">
        <f>+BU16+BU22</f>
        <v>41.205999999999989</v>
      </c>
      <c r="BV24" s="58">
        <f t="shared" ref="BV24:CF24" si="15">+BV16+BV22</f>
        <v>100.88299999999995</v>
      </c>
      <c r="BW24" s="58">
        <f t="shared" si="15"/>
        <v>200.095</v>
      </c>
      <c r="BX24" s="58">
        <f t="shared" si="15"/>
        <v>292.09999999999991</v>
      </c>
      <c r="BY24" s="58">
        <f t="shared" si="15"/>
        <v>278.70000000000016</v>
      </c>
      <c r="BZ24" s="58">
        <f t="shared" si="15"/>
        <v>182.50000000000034</v>
      </c>
      <c r="CA24" s="58">
        <f t="shared" si="15"/>
        <v>252.79999999999984</v>
      </c>
      <c r="CB24" s="58">
        <f t="shared" si="15"/>
        <v>260.15299999999991</v>
      </c>
      <c r="CC24" s="59">
        <f t="shared" si="15"/>
        <v>351.44799999999998</v>
      </c>
      <c r="CD24" s="59">
        <f t="shared" si="15"/>
        <v>227.27999999999997</v>
      </c>
      <c r="CE24" s="59">
        <f t="shared" si="15"/>
        <v>294.09999999999991</v>
      </c>
      <c r="CF24" s="59">
        <f t="shared" si="15"/>
        <v>337.04000000000008</v>
      </c>
      <c r="CG24" s="59">
        <f>+CG16+CG22</f>
        <v>448.63499999999999</v>
      </c>
      <c r="CH24" s="59">
        <f>+CH16+CH22</f>
        <v>367.73400000000026</v>
      </c>
      <c r="CI24" s="59">
        <f>+CI16+CI22</f>
        <v>200.20700000000033</v>
      </c>
      <c r="CJ24" s="59">
        <f>+CJ16+CJ22</f>
        <v>141.17299999999977</v>
      </c>
      <c r="CK24" s="59">
        <f>+CK16+CK22</f>
        <v>377.41800000000012</v>
      </c>
    </row>
    <row r="25" spans="1:89" x14ac:dyDescent="0.15">
      <c r="A25" s="53"/>
      <c r="B25" s="44"/>
      <c r="C25" s="45"/>
      <c r="D25" s="44"/>
      <c r="E25" s="46"/>
      <c r="F25" s="44"/>
      <c r="G25" s="45"/>
      <c r="H25" s="44"/>
      <c r="I25" s="46"/>
      <c r="J25" s="44"/>
      <c r="K25" s="45"/>
      <c r="L25" s="44"/>
      <c r="M25" s="46"/>
      <c r="N25" s="44"/>
      <c r="O25" s="45"/>
      <c r="P25" s="44"/>
      <c r="Q25" s="46"/>
      <c r="R25" s="44"/>
      <c r="S25" s="45"/>
      <c r="T25" s="44"/>
      <c r="U25" s="46"/>
      <c r="V25" s="45"/>
      <c r="W25" s="45"/>
      <c r="X25" s="45"/>
      <c r="Y25" s="46"/>
      <c r="Z25" s="45"/>
      <c r="AA25" s="45"/>
      <c r="AB25" s="45"/>
      <c r="AC25" s="46"/>
      <c r="AD25" s="45"/>
      <c r="AE25" s="45"/>
      <c r="AF25" s="45"/>
      <c r="AG25" s="46"/>
      <c r="AH25" s="45"/>
      <c r="AI25" s="45"/>
      <c r="AJ25" s="45"/>
      <c r="AK25" s="46"/>
      <c r="AL25" s="45"/>
      <c r="AM25" s="45"/>
      <c r="AN25" s="45"/>
      <c r="AO25" s="46"/>
      <c r="AP25" s="45"/>
      <c r="AQ25" s="44"/>
      <c r="AR25" s="45"/>
      <c r="AS25" s="46"/>
      <c r="AT25" s="45"/>
      <c r="AU25" s="44"/>
      <c r="AV25" s="45"/>
      <c r="AW25" s="46"/>
      <c r="AX25" s="44"/>
      <c r="AY25" s="65"/>
      <c r="AZ25" s="65"/>
      <c r="BA25" s="66"/>
      <c r="BB25" s="65"/>
      <c r="BC25" s="70"/>
      <c r="BD25" s="70"/>
      <c r="BE25" s="71"/>
      <c r="BF25" s="65"/>
      <c r="BG25" s="67"/>
      <c r="BH25" s="44"/>
      <c r="BI25" s="71"/>
      <c r="BJ25" s="65"/>
      <c r="BK25" s="67"/>
      <c r="BL25" s="44"/>
      <c r="BM25" s="71"/>
      <c r="BN25" s="65"/>
      <c r="BO25" s="67"/>
      <c r="BP25" s="44"/>
      <c r="BQ25" s="71"/>
      <c r="BR25" s="70"/>
      <c r="BS25" s="71"/>
      <c r="BT25" s="49"/>
      <c r="BU25" s="50"/>
      <c r="BV25" s="50"/>
      <c r="BW25" s="50"/>
      <c r="BX25" s="50"/>
      <c r="BY25" s="50"/>
      <c r="BZ25" s="50"/>
      <c r="CA25" s="50"/>
      <c r="CB25" s="50"/>
      <c r="CC25" s="51"/>
      <c r="CD25" s="51"/>
      <c r="CE25" s="51"/>
      <c r="CF25" s="51"/>
      <c r="CG25" s="51"/>
      <c r="CH25" s="51"/>
      <c r="CI25" s="51"/>
      <c r="CJ25" s="51"/>
      <c r="CK25" s="51"/>
    </row>
    <row r="26" spans="1:89" x14ac:dyDescent="0.15">
      <c r="A26" s="53" t="s">
        <v>144</v>
      </c>
      <c r="B26" s="44">
        <v>-1.2</v>
      </c>
      <c r="C26" s="45">
        <v>-2.1</v>
      </c>
      <c r="D26" s="44">
        <v>-5.0999999999999996</v>
      </c>
      <c r="E26" s="46">
        <f>-12.327-(D26)-(C26)-(B26)</f>
        <v>-3.9270000000000005</v>
      </c>
      <c r="F26" s="44">
        <v>-13.5</v>
      </c>
      <c r="G26" s="45">
        <v>-5.7</v>
      </c>
      <c r="H26" s="44">
        <v>-4.8</v>
      </c>
      <c r="I26" s="46">
        <v>0.53000000000000114</v>
      </c>
      <c r="J26" s="44">
        <v>-8.8000000000000007</v>
      </c>
      <c r="K26" s="45">
        <v>-9.1</v>
      </c>
      <c r="L26" s="44">
        <v>-15.6</v>
      </c>
      <c r="M26" s="46">
        <f>-54.398-L26-K26-J26</f>
        <v>-20.898</v>
      </c>
      <c r="N26" s="44">
        <v>-26.6</v>
      </c>
      <c r="O26" s="45">
        <v>-24.3</v>
      </c>
      <c r="P26" s="44">
        <v>-15</v>
      </c>
      <c r="Q26" s="46">
        <v>-19.5</v>
      </c>
      <c r="R26" s="44">
        <v>-28.3</v>
      </c>
      <c r="S26" s="45">
        <v>-23.2</v>
      </c>
      <c r="T26" s="44">
        <v>-24.7</v>
      </c>
      <c r="U26" s="46">
        <v>-6.2</v>
      </c>
      <c r="V26" s="45">
        <v>-13.2</v>
      </c>
      <c r="W26" s="45">
        <v>-9.4</v>
      </c>
      <c r="X26" s="45">
        <v>-13.1</v>
      </c>
      <c r="Y26" s="46">
        <v>-8.5</v>
      </c>
      <c r="Z26" s="45">
        <v>-7.2</v>
      </c>
      <c r="AA26" s="45">
        <v>-14.4</v>
      </c>
      <c r="AB26" s="45">
        <v>-22.7</v>
      </c>
      <c r="AC26" s="46">
        <v>-5.2</v>
      </c>
      <c r="AD26" s="45">
        <v>-17.8</v>
      </c>
      <c r="AE26" s="45">
        <v>-9.6</v>
      </c>
      <c r="AF26" s="45">
        <v>-4.4359999999999999</v>
      </c>
      <c r="AG26" s="46">
        <v>-23.7</v>
      </c>
      <c r="AH26" s="45">
        <v>-20.56</v>
      </c>
      <c r="AI26" s="45">
        <v>-11</v>
      </c>
      <c r="AJ26" s="45">
        <v>-23.4</v>
      </c>
      <c r="AK26" s="46">
        <v>-26.385999999999999</v>
      </c>
      <c r="AL26" s="45">
        <v>-20.04</v>
      </c>
      <c r="AM26" s="45">
        <v>-11.6</v>
      </c>
      <c r="AN26" s="45">
        <v>-11</v>
      </c>
      <c r="AO26" s="46">
        <v>4.3</v>
      </c>
      <c r="AP26" s="45">
        <v>-13.3</v>
      </c>
      <c r="AQ26" s="44">
        <v>-13</v>
      </c>
      <c r="AR26" s="45">
        <v>-14.05</v>
      </c>
      <c r="AS26" s="46">
        <v>-19.8</v>
      </c>
      <c r="AT26" s="45">
        <v>-17.193999999999999</v>
      </c>
      <c r="AU26" s="44">
        <v>-12.471</v>
      </c>
      <c r="AV26" s="45">
        <v>-15.1</v>
      </c>
      <c r="AW26" s="46">
        <v>-15.5</v>
      </c>
      <c r="AX26" s="44">
        <v>-27.722000000000001</v>
      </c>
      <c r="AY26" s="44">
        <v>-15.909000000000001</v>
      </c>
      <c r="AZ26" s="44">
        <v>-22.140999999999998</v>
      </c>
      <c r="BA26" s="48">
        <v>-25.734000000000002</v>
      </c>
      <c r="BB26" s="44">
        <v>-17.137</v>
      </c>
      <c r="BC26" s="44">
        <v>-18.379000000000001</v>
      </c>
      <c r="BD26" s="44">
        <v>-14.845000000000001</v>
      </c>
      <c r="BE26" s="48">
        <v>-20.327000000000002</v>
      </c>
      <c r="BF26" s="44">
        <v>-18.613</v>
      </c>
      <c r="BG26" s="44">
        <v>-4.7759999999999998</v>
      </c>
      <c r="BH26" s="44">
        <v>-6.7380000000000004</v>
      </c>
      <c r="BI26" s="48">
        <v>-2.7469999999999999</v>
      </c>
      <c r="BJ26" s="44">
        <v>-11.57</v>
      </c>
      <c r="BK26" s="44">
        <v>-2.7069999999999999</v>
      </c>
      <c r="BL26" s="44">
        <v>-2.56</v>
      </c>
      <c r="BM26" s="48">
        <v>-6.2839999999999998</v>
      </c>
      <c r="BN26" s="44">
        <v>-10.026</v>
      </c>
      <c r="BO26" s="44">
        <v>-8.6769999999999996</v>
      </c>
      <c r="BP26" s="44">
        <v>-11.385999999999999</v>
      </c>
      <c r="BQ26" s="48">
        <v>-7.835</v>
      </c>
      <c r="BR26" s="44">
        <v>-65.745000000000005</v>
      </c>
      <c r="BS26" s="48">
        <v>-67.144999999999996</v>
      </c>
      <c r="BT26" s="49"/>
      <c r="BU26" s="50">
        <f>SUM(B26:E26)</f>
        <v>-12.326999999999998</v>
      </c>
      <c r="BV26" s="50">
        <f>SUM(F26:I26)</f>
        <v>-23.47</v>
      </c>
      <c r="BW26" s="50">
        <f>SUM(J26:M26)</f>
        <v>-54.397999999999996</v>
      </c>
      <c r="BX26" s="50">
        <f>SUM(N26:Q26)</f>
        <v>-85.4</v>
      </c>
      <c r="BY26" s="50">
        <f>SUM(R26:U26)</f>
        <v>-82.4</v>
      </c>
      <c r="BZ26" s="50">
        <f>SUM(V26:Y26)</f>
        <v>-44.2</v>
      </c>
      <c r="CA26" s="50">
        <f>SUM(Z26:AC26)</f>
        <v>-49.5</v>
      </c>
      <c r="CB26" s="50">
        <f>SUM(AD26:AG26)</f>
        <v>-55.536000000000001</v>
      </c>
      <c r="CC26" s="51">
        <f>SUM(AH26:AK26)</f>
        <v>-81.345999999999989</v>
      </c>
      <c r="CD26" s="51">
        <f>SUM(AL26:AO26)</f>
        <v>-38.340000000000003</v>
      </c>
      <c r="CE26" s="51">
        <f>SUM(AP26:AS26)</f>
        <v>-60.150000000000006</v>
      </c>
      <c r="CF26" s="51">
        <f>SUM(AT26:AW26)</f>
        <v>-60.265000000000001</v>
      </c>
      <c r="CG26" s="51">
        <f>SUM(AX26:BA26)</f>
        <v>-91.506</v>
      </c>
      <c r="CH26" s="51">
        <f>SUM(BB26:BE26)</f>
        <v>-70.688000000000002</v>
      </c>
      <c r="CI26" s="51">
        <f>SUM(BF26:BI26)</f>
        <v>-32.873999999999995</v>
      </c>
      <c r="CJ26" s="51">
        <f>SUM(BJ26:BM26)</f>
        <v>-23.120999999999999</v>
      </c>
      <c r="CK26" s="51">
        <f>SUM(BN26:BQ26)</f>
        <v>-37.923999999999999</v>
      </c>
    </row>
    <row r="27" spans="1:89" x14ac:dyDescent="0.15">
      <c r="A27" s="53"/>
      <c r="B27" s="44"/>
      <c r="C27" s="45"/>
      <c r="D27" s="44"/>
      <c r="E27" s="46"/>
      <c r="F27" s="44"/>
      <c r="G27" s="45"/>
      <c r="H27" s="44"/>
      <c r="I27" s="46"/>
      <c r="J27" s="44"/>
      <c r="K27" s="45"/>
      <c r="L27" s="44"/>
      <c r="M27" s="46"/>
      <c r="N27" s="44"/>
      <c r="O27" s="45"/>
      <c r="P27" s="44"/>
      <c r="Q27" s="46"/>
      <c r="R27" s="44"/>
      <c r="S27" s="45"/>
      <c r="T27" s="44"/>
      <c r="U27" s="46"/>
      <c r="V27" s="45"/>
      <c r="W27" s="45"/>
      <c r="X27" s="45"/>
      <c r="Y27" s="46"/>
      <c r="Z27" s="45"/>
      <c r="AA27" s="45"/>
      <c r="AB27" s="45"/>
      <c r="AC27" s="46"/>
      <c r="AD27" s="45"/>
      <c r="AE27" s="45"/>
      <c r="AF27" s="45"/>
      <c r="AG27" s="46"/>
      <c r="AH27" s="45"/>
      <c r="AI27" s="45"/>
      <c r="AJ27" s="45"/>
      <c r="AK27" s="46"/>
      <c r="AL27" s="45"/>
      <c r="AM27" s="45"/>
      <c r="AN27" s="45"/>
      <c r="AO27" s="46"/>
      <c r="AP27" s="45"/>
      <c r="AQ27" s="44"/>
      <c r="AR27" s="45"/>
      <c r="AS27" s="46"/>
      <c r="AT27" s="45"/>
      <c r="AU27" s="44"/>
      <c r="AV27" s="45"/>
      <c r="AW27" s="46"/>
      <c r="AX27" s="44"/>
      <c r="AY27" s="44"/>
      <c r="AZ27" s="44"/>
      <c r="BA27" s="48"/>
      <c r="BB27" s="44"/>
      <c r="BC27" s="44"/>
      <c r="BD27" s="44"/>
      <c r="BE27" s="48"/>
      <c r="BF27" s="72"/>
      <c r="BG27" s="72"/>
      <c r="BH27" s="72"/>
      <c r="BI27" s="73"/>
      <c r="BJ27" s="72"/>
      <c r="BK27" s="72"/>
      <c r="BL27" s="72"/>
      <c r="BM27" s="73"/>
      <c r="BN27" s="72"/>
      <c r="BO27" s="72"/>
      <c r="BP27" s="72"/>
      <c r="BQ27" s="73"/>
      <c r="BR27" s="72"/>
      <c r="BS27" s="73"/>
      <c r="BT27" s="49"/>
      <c r="BU27" s="50"/>
      <c r="BV27" s="50"/>
      <c r="BW27" s="50"/>
      <c r="BX27" s="50"/>
      <c r="BY27" s="50"/>
      <c r="BZ27" s="50"/>
      <c r="CA27" s="50"/>
      <c r="CB27" s="50"/>
      <c r="CC27" s="51"/>
      <c r="CD27" s="51"/>
      <c r="CE27" s="51"/>
      <c r="CF27" s="51"/>
      <c r="CG27" s="51"/>
      <c r="CH27" s="51"/>
      <c r="CI27" s="51"/>
      <c r="CJ27" s="51"/>
      <c r="CK27" s="51"/>
    </row>
    <row r="28" spans="1:89" x14ac:dyDescent="0.15">
      <c r="A28" s="38" t="s">
        <v>14</v>
      </c>
      <c r="B28" s="55">
        <f t="shared" ref="B28:BK28" si="16">+B24+B26</f>
        <v>0.99999999999999578</v>
      </c>
      <c r="C28" s="55">
        <f t="shared" si="16"/>
        <v>2.0999999999999956</v>
      </c>
      <c r="D28" s="55">
        <f t="shared" si="16"/>
        <v>11.800000000000006</v>
      </c>
      <c r="E28" s="56">
        <f t="shared" si="16"/>
        <v>13.978999999999971</v>
      </c>
      <c r="F28" s="55">
        <f t="shared" si="16"/>
        <v>36.5</v>
      </c>
      <c r="G28" s="55">
        <f t="shared" si="16"/>
        <v>14.700000000000006</v>
      </c>
      <c r="H28" s="55">
        <f t="shared" si="16"/>
        <v>6.0999999999999988</v>
      </c>
      <c r="I28" s="56">
        <f t="shared" si="16"/>
        <v>20.112999999999971</v>
      </c>
      <c r="J28" s="55">
        <f t="shared" si="16"/>
        <v>25.500000000000011</v>
      </c>
      <c r="K28" s="55">
        <f t="shared" si="16"/>
        <v>25.700000000000017</v>
      </c>
      <c r="L28" s="55">
        <f t="shared" si="16"/>
        <v>43.400000000000013</v>
      </c>
      <c r="M28" s="56">
        <f t="shared" si="16"/>
        <v>51.097000000000008</v>
      </c>
      <c r="N28" s="55">
        <f t="shared" si="16"/>
        <v>66.600000000000023</v>
      </c>
      <c r="O28" s="55">
        <f t="shared" si="16"/>
        <v>61.5</v>
      </c>
      <c r="P28" s="55">
        <f t="shared" si="16"/>
        <v>35.899999999999991</v>
      </c>
      <c r="Q28" s="56">
        <f t="shared" si="16"/>
        <v>42.699999999999989</v>
      </c>
      <c r="R28" s="55">
        <f t="shared" si="16"/>
        <v>69.5</v>
      </c>
      <c r="S28" s="55">
        <f t="shared" si="16"/>
        <v>55.099999999999994</v>
      </c>
      <c r="T28" s="55">
        <f t="shared" si="16"/>
        <v>56.399999999999991</v>
      </c>
      <c r="U28" s="56">
        <f t="shared" si="16"/>
        <v>15.300000000000029</v>
      </c>
      <c r="V28" s="55">
        <f t="shared" si="16"/>
        <v>38.100000000000037</v>
      </c>
      <c r="W28" s="55">
        <f t="shared" si="16"/>
        <v>28.400000000000013</v>
      </c>
      <c r="X28" s="55">
        <f t="shared" si="16"/>
        <v>43.9</v>
      </c>
      <c r="Y28" s="56">
        <f t="shared" si="16"/>
        <v>27.900000000000006</v>
      </c>
      <c r="Z28" s="55">
        <f t="shared" si="16"/>
        <v>25.300000000000029</v>
      </c>
      <c r="AA28" s="55">
        <f t="shared" si="16"/>
        <v>45.60000000000003</v>
      </c>
      <c r="AB28" s="55">
        <f t="shared" si="16"/>
        <v>103.00000000000001</v>
      </c>
      <c r="AC28" s="56">
        <f t="shared" si="16"/>
        <v>29.399999999999967</v>
      </c>
      <c r="AD28" s="55">
        <f t="shared" si="16"/>
        <v>52.900000000000048</v>
      </c>
      <c r="AE28" s="55">
        <f t="shared" si="16"/>
        <v>54.799999999999947</v>
      </c>
      <c r="AF28" s="55">
        <f t="shared" si="16"/>
        <v>18.846999999999987</v>
      </c>
      <c r="AG28" s="56">
        <f t="shared" si="16"/>
        <v>78.069999999999979</v>
      </c>
      <c r="AH28" s="55">
        <f t="shared" si="16"/>
        <v>78.750000000000028</v>
      </c>
      <c r="AI28" s="55">
        <f t="shared" si="16"/>
        <v>55.700000000000017</v>
      </c>
      <c r="AJ28" s="55">
        <f t="shared" si="16"/>
        <v>77.599999999999937</v>
      </c>
      <c r="AK28" s="56">
        <f t="shared" si="16"/>
        <v>58.052000000000021</v>
      </c>
      <c r="AL28" s="55">
        <f t="shared" si="16"/>
        <v>72.510000000000048</v>
      </c>
      <c r="AM28" s="55">
        <f t="shared" si="16"/>
        <v>41.329999999999977</v>
      </c>
      <c r="AN28" s="55">
        <f t="shared" si="16"/>
        <v>22.099999999999994</v>
      </c>
      <c r="AO28" s="56">
        <f t="shared" si="16"/>
        <v>52.999999999999957</v>
      </c>
      <c r="AP28" s="55">
        <f t="shared" si="16"/>
        <v>57.2</v>
      </c>
      <c r="AQ28" s="55">
        <f t="shared" si="16"/>
        <v>55.100000000000051</v>
      </c>
      <c r="AR28" s="55">
        <f t="shared" si="16"/>
        <v>58.050000000000026</v>
      </c>
      <c r="AS28" s="56">
        <f t="shared" si="16"/>
        <v>63.600000000000009</v>
      </c>
      <c r="AT28" s="55">
        <f t="shared" si="16"/>
        <v>78.138000000000019</v>
      </c>
      <c r="AU28" s="55">
        <f t="shared" si="16"/>
        <v>58.255000000000024</v>
      </c>
      <c r="AV28" s="55">
        <f t="shared" si="16"/>
        <v>60.210999999999977</v>
      </c>
      <c r="AW28" s="56">
        <f t="shared" si="16"/>
        <v>80.170999999999935</v>
      </c>
      <c r="AX28" s="55">
        <f t="shared" si="16"/>
        <v>108.54899999999998</v>
      </c>
      <c r="AY28" s="55">
        <f t="shared" si="16"/>
        <v>85.339999999999989</v>
      </c>
      <c r="AZ28" s="55">
        <f t="shared" si="16"/>
        <v>75.748000000000019</v>
      </c>
      <c r="BA28" s="56">
        <f t="shared" si="16"/>
        <v>87.49199999999999</v>
      </c>
      <c r="BB28" s="55">
        <f t="shared" si="16"/>
        <v>72.015000000000015</v>
      </c>
      <c r="BC28" s="55">
        <f t="shared" si="16"/>
        <v>68.459000000000074</v>
      </c>
      <c r="BD28" s="55">
        <f t="shared" si="16"/>
        <v>69.170999999999992</v>
      </c>
      <c r="BE28" s="56">
        <f t="shared" si="16"/>
        <v>87.401000000000039</v>
      </c>
      <c r="BF28" s="55">
        <f t="shared" si="16"/>
        <v>55.31200000000004</v>
      </c>
      <c r="BG28" s="55">
        <f t="shared" si="16"/>
        <v>16.172999999999956</v>
      </c>
      <c r="BH28" s="55">
        <f t="shared" si="16"/>
        <v>45.920999999999992</v>
      </c>
      <c r="BI28" s="56">
        <f t="shared" si="16"/>
        <v>49.926999999999978</v>
      </c>
      <c r="BJ28" s="55">
        <f t="shared" si="16"/>
        <v>30.342999999999954</v>
      </c>
      <c r="BK28" s="55">
        <f t="shared" si="16"/>
        <v>26.652000000000037</v>
      </c>
      <c r="BL28" s="55">
        <f>+BL24+BL26</f>
        <v>26.364000000000036</v>
      </c>
      <c r="BM28" s="56">
        <f>+BM24+BM26</f>
        <v>34.692999999999977</v>
      </c>
      <c r="BN28" s="55">
        <f t="shared" ref="BN28:BS28" si="17">+BN24+BN26</f>
        <v>118.93599999999999</v>
      </c>
      <c r="BO28" s="55">
        <f t="shared" si="17"/>
        <v>73.42199999999994</v>
      </c>
      <c r="BP28" s="55">
        <f t="shared" si="17"/>
        <v>80.868000000000023</v>
      </c>
      <c r="BQ28" s="56">
        <f t="shared" si="17"/>
        <v>66.267999999999958</v>
      </c>
      <c r="BR28" s="55">
        <f t="shared" si="17"/>
        <v>301.34499999999986</v>
      </c>
      <c r="BS28" s="56">
        <f t="shared" si="17"/>
        <v>301.98399999999998</v>
      </c>
      <c r="BT28" s="57"/>
      <c r="BU28" s="58">
        <f>+BU24+BU26</f>
        <v>28.878999999999991</v>
      </c>
      <c r="BV28" s="58">
        <f t="shared" ref="BV28:CF28" si="18">+BV24+BV26</f>
        <v>77.412999999999954</v>
      </c>
      <c r="BW28" s="58">
        <f t="shared" si="18"/>
        <v>145.697</v>
      </c>
      <c r="BX28" s="58">
        <f t="shared" si="18"/>
        <v>206.6999999999999</v>
      </c>
      <c r="BY28" s="58">
        <f t="shared" si="18"/>
        <v>196.30000000000015</v>
      </c>
      <c r="BZ28" s="58">
        <f t="shared" si="18"/>
        <v>138.30000000000035</v>
      </c>
      <c r="CA28" s="58">
        <f t="shared" si="18"/>
        <v>203.29999999999984</v>
      </c>
      <c r="CB28" s="58">
        <f t="shared" si="18"/>
        <v>204.6169999999999</v>
      </c>
      <c r="CC28" s="59">
        <f t="shared" si="18"/>
        <v>270.10199999999998</v>
      </c>
      <c r="CD28" s="59">
        <f t="shared" si="18"/>
        <v>188.93999999999997</v>
      </c>
      <c r="CE28" s="59">
        <f t="shared" si="18"/>
        <v>233.9499999999999</v>
      </c>
      <c r="CF28" s="59">
        <f t="shared" si="18"/>
        <v>276.77500000000009</v>
      </c>
      <c r="CG28" s="59">
        <f>+CG24+CG26</f>
        <v>357.12900000000002</v>
      </c>
      <c r="CH28" s="59">
        <f>+CH24+CH26</f>
        <v>297.04600000000028</v>
      </c>
      <c r="CI28" s="59">
        <f>+CI24+CI26</f>
        <v>167.33300000000034</v>
      </c>
      <c r="CJ28" s="59">
        <f>+CJ24+CJ26</f>
        <v>118.05199999999978</v>
      </c>
      <c r="CK28" s="59">
        <f>+CK24+CK26</f>
        <v>339.49400000000014</v>
      </c>
    </row>
    <row r="29" spans="1:89" x14ac:dyDescent="0.15">
      <c r="A29" s="53"/>
      <c r="B29" s="52"/>
      <c r="C29" s="53"/>
      <c r="D29" s="52"/>
      <c r="E29" s="74"/>
      <c r="F29" s="52"/>
      <c r="G29" s="53"/>
      <c r="H29" s="52"/>
      <c r="I29" s="74"/>
      <c r="K29" s="53"/>
      <c r="M29" s="74"/>
      <c r="O29" s="53"/>
      <c r="Q29" s="74"/>
      <c r="S29" s="53"/>
      <c r="U29" s="74"/>
      <c r="V29" s="53"/>
      <c r="W29" s="53"/>
      <c r="X29" s="53"/>
      <c r="Y29" s="74"/>
      <c r="Z29" s="53"/>
      <c r="AA29" s="53"/>
      <c r="AB29" s="53"/>
      <c r="AC29" s="74"/>
      <c r="AD29" s="53"/>
      <c r="AE29" s="53"/>
      <c r="AF29" s="53"/>
      <c r="AG29" s="74"/>
      <c r="AH29" s="53"/>
      <c r="AI29" s="53"/>
      <c r="AJ29" s="53"/>
      <c r="AK29" s="74"/>
      <c r="AL29" s="53"/>
      <c r="AM29" s="53"/>
      <c r="AN29" s="53"/>
      <c r="AO29" s="74"/>
      <c r="AP29" s="53"/>
      <c r="AR29" s="53"/>
      <c r="AS29" s="74"/>
      <c r="AT29" s="53"/>
      <c r="AV29" s="53"/>
      <c r="AW29" s="46"/>
      <c r="AX29" s="44"/>
      <c r="AY29" s="65"/>
      <c r="AZ29" s="65"/>
      <c r="BA29" s="66"/>
      <c r="BB29" s="65"/>
      <c r="BC29" s="65"/>
      <c r="BD29" s="65"/>
      <c r="BE29" s="66"/>
      <c r="BF29" s="65"/>
      <c r="BG29" s="67"/>
      <c r="BH29" s="65"/>
      <c r="BI29" s="66"/>
      <c r="BJ29" s="65"/>
      <c r="BK29" s="67"/>
      <c r="BL29" s="65"/>
      <c r="BM29" s="66"/>
      <c r="BN29" s="65"/>
      <c r="BO29" s="67"/>
      <c r="BP29" s="65"/>
      <c r="BQ29" s="66"/>
      <c r="BR29" s="65"/>
      <c r="BS29" s="66"/>
      <c r="BU29" s="37"/>
      <c r="BV29" s="37"/>
      <c r="BW29" s="37"/>
      <c r="BX29" s="37"/>
      <c r="BY29" s="37"/>
      <c r="BZ29" s="37"/>
      <c r="CA29" s="37"/>
      <c r="CB29" s="37"/>
      <c r="CC29" s="34"/>
      <c r="CD29" s="34"/>
      <c r="CE29" s="34"/>
      <c r="CF29" s="34"/>
      <c r="CG29" s="34"/>
      <c r="CH29" s="68"/>
      <c r="CI29" s="68"/>
      <c r="CJ29" s="68"/>
      <c r="CK29" s="68"/>
    </row>
    <row r="30" spans="1:89" x14ac:dyDescent="0.15">
      <c r="A30" s="38" t="s">
        <v>145</v>
      </c>
      <c r="C30" s="38"/>
      <c r="E30" s="39"/>
      <c r="G30" s="38"/>
      <c r="I30" s="39"/>
      <c r="K30" s="38"/>
      <c r="M30" s="39"/>
      <c r="O30" s="38"/>
      <c r="Q30" s="39"/>
      <c r="S30" s="38"/>
      <c r="U30" s="39"/>
      <c r="V30" s="38"/>
      <c r="W30" s="38"/>
      <c r="X30" s="38"/>
      <c r="Y30" s="39"/>
      <c r="Z30" s="38"/>
      <c r="AA30" s="38"/>
      <c r="AB30" s="53"/>
      <c r="AC30" s="39"/>
      <c r="AD30" s="53"/>
      <c r="AE30" s="38"/>
      <c r="AF30" s="53"/>
      <c r="AG30" s="39"/>
      <c r="AH30" s="53"/>
      <c r="AI30" s="53"/>
      <c r="AJ30" s="53"/>
      <c r="AK30" s="39"/>
      <c r="AL30" s="53"/>
      <c r="AM30" s="53"/>
      <c r="AN30" s="53"/>
      <c r="AO30" s="39"/>
      <c r="AP30" s="53"/>
      <c r="AR30" s="53"/>
      <c r="AS30" s="39"/>
      <c r="AT30" s="53"/>
      <c r="AV30" s="53"/>
      <c r="AW30" s="39"/>
      <c r="AY30" s="35"/>
      <c r="AZ30" s="35"/>
      <c r="BA30" s="36"/>
      <c r="BB30" s="35"/>
      <c r="BE30" s="36"/>
      <c r="BG30" s="75"/>
      <c r="BI30" s="36"/>
      <c r="BK30" s="75"/>
      <c r="BM30" s="36"/>
      <c r="BO30" s="75"/>
      <c r="BQ30" s="36"/>
      <c r="BS30" s="36"/>
      <c r="BU30" s="37"/>
      <c r="BV30" s="37"/>
      <c r="BW30" s="37"/>
      <c r="BX30" s="37"/>
      <c r="BY30" s="37"/>
      <c r="BZ30" s="37"/>
      <c r="CA30" s="37"/>
      <c r="CB30" s="37"/>
      <c r="CC30" s="34"/>
      <c r="CD30" s="34"/>
      <c r="CE30" s="34"/>
      <c r="CF30" s="34"/>
      <c r="CG30" s="34"/>
      <c r="CH30" s="36"/>
      <c r="CI30" s="36"/>
      <c r="CJ30" s="36"/>
      <c r="CK30" s="36"/>
    </row>
    <row r="31" spans="1:89" s="44" customFormat="1" x14ac:dyDescent="0.15">
      <c r="A31" s="45" t="s">
        <v>146</v>
      </c>
      <c r="E31" s="48"/>
      <c r="I31" s="48"/>
      <c r="M31" s="48"/>
      <c r="Q31" s="48"/>
      <c r="U31" s="48"/>
      <c r="Y31" s="48"/>
      <c r="AB31" s="45"/>
      <c r="AC31" s="48"/>
      <c r="AD31" s="45">
        <v>272200</v>
      </c>
      <c r="AE31" s="44">
        <v>275800</v>
      </c>
      <c r="AF31" s="45">
        <v>303800</v>
      </c>
      <c r="AG31" s="48">
        <v>313500</v>
      </c>
      <c r="AH31" s="45">
        <v>322900</v>
      </c>
      <c r="AI31" s="45">
        <v>330400</v>
      </c>
      <c r="AJ31" s="45">
        <v>336300</v>
      </c>
      <c r="AK31" s="48">
        <v>344000</v>
      </c>
      <c r="AL31" s="45">
        <v>350700</v>
      </c>
      <c r="AM31" s="45">
        <v>355100</v>
      </c>
      <c r="AN31" s="45">
        <v>360800</v>
      </c>
      <c r="AO31" s="48">
        <v>366600</v>
      </c>
      <c r="AP31" s="45">
        <v>373500</v>
      </c>
      <c r="AQ31" s="44">
        <v>378700</v>
      </c>
      <c r="AR31" s="45">
        <v>384200</v>
      </c>
      <c r="AS31" s="48">
        <v>394700</v>
      </c>
      <c r="AT31" s="45">
        <v>404100</v>
      </c>
      <c r="AU31" s="44">
        <v>413200</v>
      </c>
      <c r="AV31" s="45">
        <v>421000</v>
      </c>
      <c r="AW31" s="48">
        <v>432600</v>
      </c>
      <c r="AX31" s="44">
        <v>449900</v>
      </c>
      <c r="AY31" s="44">
        <v>462500</v>
      </c>
      <c r="AZ31" s="44">
        <v>476000</v>
      </c>
      <c r="BA31" s="48">
        <v>490400</v>
      </c>
      <c r="BB31" s="44">
        <v>507100</v>
      </c>
      <c r="BC31" s="44">
        <v>523200</v>
      </c>
      <c r="BD31" s="44">
        <v>545600</v>
      </c>
      <c r="BE31" s="48">
        <v>566800</v>
      </c>
      <c r="BF31" s="44">
        <v>593600</v>
      </c>
      <c r="BG31" s="44">
        <v>616100</v>
      </c>
      <c r="BH31" s="44">
        <v>640200</v>
      </c>
      <c r="BI31" s="48">
        <v>669300</v>
      </c>
      <c r="BJ31" s="44">
        <v>698500</v>
      </c>
      <c r="BK31" s="44">
        <v>718000</v>
      </c>
      <c r="BL31" s="44">
        <v>741800</v>
      </c>
      <c r="BM31" s="48">
        <v>765200</v>
      </c>
      <c r="BN31" s="44">
        <v>794800</v>
      </c>
      <c r="BO31" s="44">
        <v>854800</v>
      </c>
      <c r="BP31" s="44">
        <v>882200</v>
      </c>
      <c r="BQ31" s="48">
        <v>913600</v>
      </c>
      <c r="BR31" s="44">
        <v>1002400</v>
      </c>
      <c r="BS31" s="48">
        <v>1069200</v>
      </c>
      <c r="BT31" s="76"/>
      <c r="BU31" s="77">
        <f>+E31</f>
        <v>0</v>
      </c>
      <c r="BV31" s="77">
        <f>+I31</f>
        <v>0</v>
      </c>
      <c r="BW31" s="78">
        <f>+M31</f>
        <v>0</v>
      </c>
      <c r="BX31" s="77">
        <f>+Q31</f>
        <v>0</v>
      </c>
      <c r="BY31" s="78">
        <f>+U31</f>
        <v>0</v>
      </c>
      <c r="BZ31" s="77">
        <f>+Y31</f>
        <v>0</v>
      </c>
      <c r="CA31" s="78">
        <f>+AC31</f>
        <v>0</v>
      </c>
      <c r="CB31" s="77">
        <f>+AG31</f>
        <v>313500</v>
      </c>
      <c r="CC31" s="79">
        <f>+AK31</f>
        <v>344000</v>
      </c>
      <c r="CD31" s="80">
        <f>+AO31</f>
        <v>366600</v>
      </c>
      <c r="CE31" s="79">
        <f>+AS31</f>
        <v>394700</v>
      </c>
      <c r="CF31" s="79">
        <f>+AW31</f>
        <v>432600</v>
      </c>
      <c r="CG31" s="79">
        <f>+BA31</f>
        <v>490400</v>
      </c>
      <c r="CH31" s="79">
        <f>+BE31</f>
        <v>566800</v>
      </c>
      <c r="CI31" s="79">
        <f>+BI31</f>
        <v>669300</v>
      </c>
      <c r="CJ31" s="79">
        <f>+BM31</f>
        <v>765200</v>
      </c>
      <c r="CK31" s="79">
        <f>+BQ31</f>
        <v>913600</v>
      </c>
    </row>
    <row r="32" spans="1:89" x14ac:dyDescent="0.15">
      <c r="A32" s="53" t="s">
        <v>147</v>
      </c>
      <c r="B32" s="81">
        <v>59600</v>
      </c>
      <c r="C32" s="45">
        <v>58800</v>
      </c>
      <c r="D32" s="81">
        <v>59100</v>
      </c>
      <c r="E32" s="46">
        <v>62200</v>
      </c>
      <c r="F32" s="81">
        <v>67100</v>
      </c>
      <c r="G32" s="45">
        <v>70000</v>
      </c>
      <c r="H32" s="82">
        <v>72200</v>
      </c>
      <c r="I32" s="46">
        <v>101400</v>
      </c>
      <c r="J32" s="82">
        <v>105100</v>
      </c>
      <c r="K32" s="45">
        <v>106900</v>
      </c>
      <c r="L32" s="45">
        <v>110900</v>
      </c>
      <c r="M32" s="46">
        <v>117300</v>
      </c>
      <c r="N32" s="45">
        <v>127700</v>
      </c>
      <c r="O32" s="45">
        <v>135900</v>
      </c>
      <c r="P32" s="45">
        <v>140500</v>
      </c>
      <c r="Q32" s="46">
        <v>149500</v>
      </c>
      <c r="R32" s="45">
        <v>159600</v>
      </c>
      <c r="S32" s="45">
        <v>167300</v>
      </c>
      <c r="T32" s="44">
        <v>174500</v>
      </c>
      <c r="U32" s="46">
        <v>185000</v>
      </c>
      <c r="V32" s="44">
        <v>197700</v>
      </c>
      <c r="W32" s="45">
        <v>213700</v>
      </c>
      <c r="X32" s="44">
        <v>218300</v>
      </c>
      <c r="Y32" s="46">
        <v>230900</v>
      </c>
      <c r="Z32" s="44">
        <v>238600</v>
      </c>
      <c r="AA32" s="45">
        <v>249600</v>
      </c>
      <c r="AB32" s="44">
        <v>304500</v>
      </c>
      <c r="AC32" s="46">
        <v>308600</v>
      </c>
      <c r="AD32" s="44">
        <v>317800</v>
      </c>
      <c r="AE32" s="45">
        <v>316000</v>
      </c>
      <c r="AF32" s="44">
        <v>346800</v>
      </c>
      <c r="AG32" s="46">
        <v>360000</v>
      </c>
      <c r="AH32" s="44">
        <v>372400</v>
      </c>
      <c r="AI32" s="44">
        <v>384000</v>
      </c>
      <c r="AJ32" s="44">
        <v>394700</v>
      </c>
      <c r="AK32" s="46">
        <v>405500</v>
      </c>
      <c r="AL32" s="44">
        <v>417900</v>
      </c>
      <c r="AM32" s="44">
        <v>426500</v>
      </c>
      <c r="AN32" s="44">
        <v>435600</v>
      </c>
      <c r="AO32" s="46">
        <v>444300</v>
      </c>
      <c r="AP32" s="44">
        <v>456300</v>
      </c>
      <c r="AQ32" s="44">
        <v>464900</v>
      </c>
      <c r="AR32" s="44">
        <v>473200</v>
      </c>
      <c r="AS32" s="46">
        <v>487800</v>
      </c>
      <c r="AT32" s="44">
        <v>501200</v>
      </c>
      <c r="AU32" s="44">
        <v>516000</v>
      </c>
      <c r="AV32" s="44">
        <v>527700</v>
      </c>
      <c r="AW32" s="46">
        <v>544600</v>
      </c>
      <c r="AX32" s="44">
        <v>570800</v>
      </c>
      <c r="AY32" s="44">
        <v>588500</v>
      </c>
      <c r="AZ32" s="44">
        <v>607000</v>
      </c>
      <c r="BA32" s="48">
        <v>627500</v>
      </c>
      <c r="BB32" s="44">
        <v>650500</v>
      </c>
      <c r="BC32" s="44">
        <v>673800</v>
      </c>
      <c r="BD32" s="44">
        <v>705600</v>
      </c>
      <c r="BE32" s="48">
        <v>735000</v>
      </c>
      <c r="BF32" s="44">
        <v>771200</v>
      </c>
      <c r="BG32" s="44">
        <v>801400</v>
      </c>
      <c r="BH32" s="44">
        <v>837700</v>
      </c>
      <c r="BI32" s="48">
        <v>884500</v>
      </c>
      <c r="BJ32" s="44">
        <v>923300</v>
      </c>
      <c r="BK32" s="44">
        <v>949800</v>
      </c>
      <c r="BL32" s="44">
        <v>982400</v>
      </c>
      <c r="BM32" s="48">
        <v>1016300</v>
      </c>
      <c r="BN32" s="44">
        <v>1054700</v>
      </c>
      <c r="BO32" s="44">
        <v>1134000</v>
      </c>
      <c r="BP32" s="44">
        <v>1169100</v>
      </c>
      <c r="BQ32" s="48">
        <v>1213400</v>
      </c>
      <c r="BR32" s="44">
        <v>1356700</v>
      </c>
      <c r="BS32" s="48">
        <v>1451900</v>
      </c>
      <c r="BT32" s="76"/>
      <c r="BU32" s="77">
        <f>+E32</f>
        <v>62200</v>
      </c>
      <c r="BV32" s="77">
        <f>+I32</f>
        <v>101400</v>
      </c>
      <c r="BW32" s="78">
        <f>+M32</f>
        <v>117300</v>
      </c>
      <c r="BX32" s="77">
        <f>+Q32</f>
        <v>149500</v>
      </c>
      <c r="BY32" s="78">
        <f>+U32</f>
        <v>185000</v>
      </c>
      <c r="BZ32" s="77">
        <f>+Y32</f>
        <v>230900</v>
      </c>
      <c r="CA32" s="78">
        <f>+AC32</f>
        <v>308600</v>
      </c>
      <c r="CB32" s="77">
        <f>+AG32</f>
        <v>360000</v>
      </c>
      <c r="CC32" s="79">
        <f>+AK32</f>
        <v>405500</v>
      </c>
      <c r="CD32" s="80">
        <f>+AO32</f>
        <v>444300</v>
      </c>
      <c r="CE32" s="79">
        <f>+AS32</f>
        <v>487800</v>
      </c>
      <c r="CF32" s="79">
        <f>+AW32</f>
        <v>544600</v>
      </c>
      <c r="CG32" s="79">
        <f>+BA32</f>
        <v>627500</v>
      </c>
      <c r="CH32" s="79">
        <f>+BE32</f>
        <v>735000</v>
      </c>
      <c r="CI32" s="79">
        <f>+BI32</f>
        <v>884500</v>
      </c>
      <c r="CJ32" s="79">
        <f>+BM32</f>
        <v>1016300</v>
      </c>
      <c r="CK32" s="79">
        <f>+BQ32</f>
        <v>1213400</v>
      </c>
    </row>
    <row r="33" spans="1:90" x14ac:dyDescent="0.15">
      <c r="A33" s="53" t="s">
        <v>24</v>
      </c>
      <c r="B33" s="81"/>
      <c r="C33" s="45"/>
      <c r="D33" s="81"/>
      <c r="E33" s="46"/>
      <c r="F33" s="81"/>
      <c r="G33" s="45"/>
      <c r="H33" s="82"/>
      <c r="I33" s="46"/>
      <c r="J33" s="82"/>
      <c r="K33" s="45"/>
      <c r="L33" s="45"/>
      <c r="M33" s="46"/>
      <c r="N33" s="45"/>
      <c r="O33" s="45"/>
      <c r="P33" s="45"/>
      <c r="Q33" s="46"/>
      <c r="R33" s="45"/>
      <c r="S33" s="45"/>
      <c r="T33" s="44"/>
      <c r="U33" s="46"/>
      <c r="V33" s="44"/>
      <c r="W33" s="45"/>
      <c r="X33" s="44"/>
      <c r="Y33" s="46"/>
      <c r="Z33" s="44"/>
      <c r="AA33" s="45"/>
      <c r="AB33" s="44"/>
      <c r="AC33" s="46"/>
      <c r="AD33" s="44"/>
      <c r="AE33" s="45"/>
      <c r="AF33" s="44"/>
      <c r="AG33" s="46"/>
      <c r="AH33" s="83">
        <v>5.1855651140000001</v>
      </c>
      <c r="AI33" s="83">
        <v>1.1122817995539798</v>
      </c>
      <c r="AJ33" s="83">
        <v>1.9002865010000001</v>
      </c>
      <c r="AK33" s="47">
        <v>1.0739634680000001</v>
      </c>
      <c r="AL33" s="83">
        <v>3.6357249899999999</v>
      </c>
      <c r="AM33" s="83">
        <v>1.9158167530000001</v>
      </c>
      <c r="AN33" s="83">
        <v>8.5284699999999998E-3</v>
      </c>
      <c r="AO33" s="47">
        <v>1.3177471810000001</v>
      </c>
      <c r="AP33" s="83">
        <v>3.6502228240000001</v>
      </c>
      <c r="AQ33" s="83">
        <v>2.2140314970000001</v>
      </c>
      <c r="AR33" s="83">
        <v>1.9971045919999999</v>
      </c>
      <c r="AS33" s="47">
        <v>0.8864208556470804</v>
      </c>
      <c r="AT33" s="83">
        <v>3.7959404506620542</v>
      </c>
      <c r="AU33" s="83">
        <v>2.4715010359999998</v>
      </c>
      <c r="AV33" s="83">
        <v>5.492816466792636</v>
      </c>
      <c r="AW33" s="47">
        <v>4.5266337688521086</v>
      </c>
      <c r="AX33" s="83">
        <v>8.226507604304377</v>
      </c>
      <c r="AY33" s="83">
        <v>0.32354099717678664</v>
      </c>
      <c r="AZ33" s="83">
        <v>3.28770323</v>
      </c>
      <c r="BA33" s="54">
        <v>1.036489116</v>
      </c>
      <c r="BB33" s="83">
        <v>2.6475301390000001</v>
      </c>
      <c r="BC33" s="83">
        <v>4.2034941850000003</v>
      </c>
      <c r="BD33" s="83">
        <v>3.3296936700000002</v>
      </c>
      <c r="BE33" s="54">
        <v>4.1199399999999997</v>
      </c>
      <c r="BF33" s="83">
        <v>3.57</v>
      </c>
      <c r="BG33" s="83">
        <v>5.6189999999999998</v>
      </c>
      <c r="BH33" s="83">
        <v>4.1136540000000004</v>
      </c>
      <c r="BI33" s="54">
        <v>4.0279999999999996</v>
      </c>
      <c r="BJ33" s="83">
        <v>11.5435530868046</v>
      </c>
      <c r="BK33" s="83">
        <v>5.6141017741788124</v>
      </c>
      <c r="BL33" s="83">
        <v>4.9135550205500014</v>
      </c>
      <c r="BM33" s="54">
        <v>1.4254724538999997</v>
      </c>
      <c r="BN33" s="83">
        <v>6.9880000000000004</v>
      </c>
      <c r="BO33" s="83">
        <v>2.4161161673299989</v>
      </c>
      <c r="BP33" s="83">
        <v>4.2078053343999997</v>
      </c>
      <c r="BQ33" s="54">
        <v>7.3114951804194854</v>
      </c>
      <c r="BR33" s="83">
        <v>23.834</v>
      </c>
      <c r="BS33" s="54">
        <v>13.4</v>
      </c>
      <c r="BT33" s="49"/>
      <c r="BU33" s="50"/>
      <c r="BV33" s="50"/>
      <c r="BW33" s="50"/>
      <c r="BX33" s="50"/>
      <c r="BY33" s="50"/>
      <c r="BZ33" s="50"/>
      <c r="CA33" s="50"/>
      <c r="CB33" s="84"/>
      <c r="CC33" s="85">
        <f>SUM(AH33:AK33)</f>
        <v>9.2720968825539796</v>
      </c>
      <c r="CD33" s="85">
        <f>SUM(AL33:AO33)</f>
        <v>6.8778173939999991</v>
      </c>
      <c r="CE33" s="85">
        <f>SUM(AP33:AS33)</f>
        <v>8.7477797686470797</v>
      </c>
      <c r="CF33" s="85">
        <f>SUM(AT33:AW33)</f>
        <v>16.286891722306798</v>
      </c>
      <c r="CG33" s="85">
        <f>SUM(AX33:BA33)</f>
        <v>12.874240947481164</v>
      </c>
      <c r="CH33" s="85">
        <f>SUM(BB33:BE33)</f>
        <v>14.300657994000002</v>
      </c>
      <c r="CI33" s="85">
        <f>SUM(BF33:BI33)</f>
        <v>17.330653999999999</v>
      </c>
      <c r="CJ33" s="85">
        <f>SUM(BJ33:BM33)</f>
        <v>23.496682335433412</v>
      </c>
      <c r="CK33" s="51">
        <f>SUM(BN33:BQ33)</f>
        <v>20.923416682149483</v>
      </c>
    </row>
    <row r="34" spans="1:90" x14ac:dyDescent="0.15">
      <c r="A34" s="53" t="s">
        <v>148</v>
      </c>
      <c r="B34" s="81">
        <v>6000</v>
      </c>
      <c r="C34" s="45">
        <v>8000</v>
      </c>
      <c r="D34" s="81">
        <v>9000</v>
      </c>
      <c r="E34" s="46">
        <v>11000</v>
      </c>
      <c r="F34" s="44">
        <v>14000</v>
      </c>
      <c r="G34" s="45">
        <v>15000</v>
      </c>
      <c r="H34" s="45">
        <v>16000</v>
      </c>
      <c r="I34" s="46">
        <v>21000</v>
      </c>
      <c r="J34" s="45">
        <v>24000</v>
      </c>
      <c r="K34" s="45">
        <v>27000</v>
      </c>
      <c r="L34" s="45">
        <v>32000</v>
      </c>
      <c r="M34" s="46">
        <v>36000</v>
      </c>
      <c r="N34" s="45">
        <v>43000</v>
      </c>
      <c r="O34" s="45">
        <v>42000</v>
      </c>
      <c r="P34" s="45">
        <v>44000</v>
      </c>
      <c r="Q34" s="46">
        <v>49000</v>
      </c>
      <c r="R34" s="45">
        <v>54000</v>
      </c>
      <c r="S34" s="45">
        <v>57000</v>
      </c>
      <c r="T34" s="44">
        <v>58000</v>
      </c>
      <c r="U34" s="46">
        <v>55000</v>
      </c>
      <c r="V34" s="44">
        <v>52000</v>
      </c>
      <c r="W34" s="45">
        <v>53000</v>
      </c>
      <c r="X34" s="44">
        <v>45000</v>
      </c>
      <c r="Y34" s="46">
        <v>39000</v>
      </c>
      <c r="Z34" s="44">
        <v>43000</v>
      </c>
      <c r="AA34" s="45">
        <v>54000</v>
      </c>
      <c r="AB34" s="44">
        <v>90000</v>
      </c>
      <c r="AC34" s="46">
        <v>90000</v>
      </c>
      <c r="AD34" s="44">
        <v>96000</v>
      </c>
      <c r="AE34" s="45">
        <v>91000</v>
      </c>
      <c r="AF34" s="44">
        <v>96000</v>
      </c>
      <c r="AG34" s="46">
        <v>102000</v>
      </c>
      <c r="AH34" s="44">
        <v>106000</v>
      </c>
      <c r="AI34" s="44">
        <v>103000</v>
      </c>
      <c r="AJ34" s="44">
        <v>87000</v>
      </c>
      <c r="AK34" s="46">
        <v>90000</v>
      </c>
      <c r="AL34" s="44">
        <v>101000</v>
      </c>
      <c r="AM34" s="44">
        <v>96000</v>
      </c>
      <c r="AN34" s="44">
        <v>100000</v>
      </c>
      <c r="AO34" s="46">
        <v>104000</v>
      </c>
      <c r="AP34" s="44">
        <v>112000</v>
      </c>
      <c r="AQ34" s="44">
        <v>115000</v>
      </c>
      <c r="AR34" s="44">
        <v>127000</v>
      </c>
      <c r="AS34" s="46">
        <v>136000</v>
      </c>
      <c r="AT34" s="44">
        <v>145000</v>
      </c>
      <c r="AU34" s="44">
        <v>155000</v>
      </c>
      <c r="AV34" s="44">
        <v>160000</v>
      </c>
      <c r="AW34" s="46">
        <v>166000</v>
      </c>
      <c r="AX34" s="44">
        <v>193000</v>
      </c>
      <c r="AY34" s="44">
        <v>191000</v>
      </c>
      <c r="AZ34" s="44">
        <v>185000</v>
      </c>
      <c r="BA34" s="48">
        <v>200000</v>
      </c>
      <c r="BB34" s="44">
        <v>197000</v>
      </c>
      <c r="BC34" s="44">
        <v>205000</v>
      </c>
      <c r="BD34" s="44">
        <v>225000</v>
      </c>
      <c r="BE34" s="48">
        <v>235000</v>
      </c>
      <c r="BF34" s="44">
        <v>245700</v>
      </c>
      <c r="BG34" s="44">
        <v>259700</v>
      </c>
      <c r="BH34" s="44">
        <v>267459.90471899998</v>
      </c>
      <c r="BI34" s="48">
        <v>272400</v>
      </c>
      <c r="BJ34" s="44">
        <v>287200</v>
      </c>
      <c r="BK34" s="44">
        <v>310500</v>
      </c>
      <c r="BL34" s="44">
        <v>323900</v>
      </c>
      <c r="BM34" s="48">
        <v>285500</v>
      </c>
      <c r="BN34" s="44">
        <v>323500</v>
      </c>
      <c r="BO34" s="44">
        <v>353700</v>
      </c>
      <c r="BP34" s="44">
        <v>365200</v>
      </c>
      <c r="BQ34" s="48">
        <v>394500</v>
      </c>
      <c r="BR34" s="44">
        <v>354900</v>
      </c>
      <c r="BS34" s="48">
        <v>424600</v>
      </c>
      <c r="BT34" s="76"/>
      <c r="BU34" s="77">
        <f>+E34</f>
        <v>11000</v>
      </c>
      <c r="BV34" s="77">
        <f>+I34</f>
        <v>21000</v>
      </c>
      <c r="BW34" s="78">
        <f>+M34</f>
        <v>36000</v>
      </c>
      <c r="BX34" s="77">
        <f>+Q34</f>
        <v>49000</v>
      </c>
      <c r="BY34" s="78">
        <f>+U34</f>
        <v>55000</v>
      </c>
      <c r="BZ34" s="77">
        <f>+Y34</f>
        <v>39000</v>
      </c>
      <c r="CA34" s="78">
        <f>+AC34</f>
        <v>90000</v>
      </c>
      <c r="CB34" s="77">
        <f>+AG34</f>
        <v>102000</v>
      </c>
      <c r="CC34" s="79">
        <f>+AK34</f>
        <v>90000</v>
      </c>
      <c r="CD34" s="80">
        <f>+AO34</f>
        <v>104000</v>
      </c>
      <c r="CE34" s="79">
        <f>+AS34</f>
        <v>136000</v>
      </c>
      <c r="CF34" s="79">
        <f>+AW34</f>
        <v>166000</v>
      </c>
      <c r="CG34" s="79">
        <f>+BA34</f>
        <v>200000</v>
      </c>
      <c r="CH34" s="79">
        <f>+BE34</f>
        <v>235000</v>
      </c>
      <c r="CI34" s="79">
        <f>+BI34</f>
        <v>272400</v>
      </c>
      <c r="CJ34" s="79">
        <f>+BM34</f>
        <v>285500</v>
      </c>
      <c r="CK34" s="79">
        <f>+BQ34</f>
        <v>394500</v>
      </c>
    </row>
    <row r="35" spans="1:90" x14ac:dyDescent="0.15">
      <c r="A35" s="53" t="s">
        <v>149</v>
      </c>
      <c r="B35" s="81">
        <v>107100</v>
      </c>
      <c r="C35" s="45">
        <v>131000</v>
      </c>
      <c r="D35" s="81">
        <v>156800</v>
      </c>
      <c r="E35" s="46">
        <v>176600</v>
      </c>
      <c r="F35" s="44">
        <v>210000</v>
      </c>
      <c r="G35" s="45">
        <v>211000</v>
      </c>
      <c r="H35" s="44">
        <v>215000</v>
      </c>
      <c r="I35" s="46">
        <v>206000</v>
      </c>
      <c r="J35" s="44">
        <v>230000</v>
      </c>
      <c r="K35" s="45">
        <v>250000</v>
      </c>
      <c r="L35" s="44">
        <v>290000</v>
      </c>
      <c r="M35" s="46">
        <v>310000</v>
      </c>
      <c r="N35" s="45">
        <v>335000</v>
      </c>
      <c r="O35" s="45">
        <v>304000</v>
      </c>
      <c r="P35" s="45">
        <v>314000</v>
      </c>
      <c r="Q35" s="46">
        <v>330000</v>
      </c>
      <c r="R35" s="45">
        <v>338000</v>
      </c>
      <c r="S35" s="45">
        <v>343000</v>
      </c>
      <c r="T35" s="44">
        <v>330000</v>
      </c>
      <c r="U35" s="46">
        <v>298000</v>
      </c>
      <c r="V35" s="44">
        <v>265100</v>
      </c>
      <c r="W35" s="45">
        <v>246500</v>
      </c>
      <c r="X35" s="44">
        <v>207000</v>
      </c>
      <c r="Y35" s="46">
        <v>169200</v>
      </c>
      <c r="Z35" s="44">
        <v>179400</v>
      </c>
      <c r="AA35" s="45">
        <v>215900</v>
      </c>
      <c r="AB35" s="44">
        <v>294400</v>
      </c>
      <c r="AC35" s="46">
        <v>292900</v>
      </c>
      <c r="AD35" s="44">
        <v>302700</v>
      </c>
      <c r="AE35" s="45">
        <v>288700</v>
      </c>
      <c r="AF35" s="44">
        <v>277300</v>
      </c>
      <c r="AG35" s="46">
        <v>283900</v>
      </c>
      <c r="AH35" s="44">
        <v>278300</v>
      </c>
      <c r="AI35" s="44">
        <v>267400</v>
      </c>
      <c r="AJ35" s="44">
        <v>220000</v>
      </c>
      <c r="AK35" s="46">
        <v>221400</v>
      </c>
      <c r="AL35" s="44">
        <v>241600</v>
      </c>
      <c r="AM35" s="44">
        <v>225000</v>
      </c>
      <c r="AN35" s="44">
        <v>229300</v>
      </c>
      <c r="AO35" s="46">
        <v>233360</v>
      </c>
      <c r="AP35" s="44">
        <v>244700</v>
      </c>
      <c r="AQ35" s="44">
        <v>247030</v>
      </c>
      <c r="AR35" s="44">
        <v>268330</v>
      </c>
      <c r="AS35" s="46">
        <v>278810</v>
      </c>
      <c r="AT35" s="44">
        <v>288500</v>
      </c>
      <c r="AU35" s="44">
        <v>300400</v>
      </c>
      <c r="AV35" s="44">
        <v>303260</v>
      </c>
      <c r="AW35" s="46">
        <v>305200</v>
      </c>
      <c r="AX35" s="44">
        <v>338700</v>
      </c>
      <c r="AY35" s="44">
        <v>324600</v>
      </c>
      <c r="AZ35" s="44">
        <v>305300</v>
      </c>
      <c r="BA35" s="48">
        <v>318800</v>
      </c>
      <c r="BB35" s="44">
        <v>302300</v>
      </c>
      <c r="BC35" s="44">
        <v>303900</v>
      </c>
      <c r="BD35" s="44">
        <v>318900</v>
      </c>
      <c r="BE35" s="48">
        <v>319300</v>
      </c>
      <c r="BF35" s="44">
        <v>318600</v>
      </c>
      <c r="BG35" s="44">
        <v>324000</v>
      </c>
      <c r="BH35" s="44">
        <v>319300</v>
      </c>
      <c r="BI35" s="48">
        <v>308000</v>
      </c>
      <c r="BJ35" s="44">
        <v>311100</v>
      </c>
      <c r="BK35" s="44">
        <v>326900</v>
      </c>
      <c r="BL35" s="44">
        <v>329700</v>
      </c>
      <c r="BM35" s="48">
        <f>+ROUND(BM34*1000000/BM32,-2)</f>
        <v>280900</v>
      </c>
      <c r="BN35" s="44">
        <f t="shared" ref="BN35:BS35" si="19">+ROUND(BN34*1000000/BN32,-2)</f>
        <v>306700</v>
      </c>
      <c r="BO35" s="44">
        <f t="shared" si="19"/>
        <v>311900</v>
      </c>
      <c r="BP35" s="44">
        <f t="shared" si="19"/>
        <v>312400</v>
      </c>
      <c r="BQ35" s="48">
        <f t="shared" si="19"/>
        <v>325100</v>
      </c>
      <c r="BR35" s="44">
        <f t="shared" si="19"/>
        <v>261600</v>
      </c>
      <c r="BS35" s="48">
        <f t="shared" si="19"/>
        <v>292400</v>
      </c>
      <c r="BT35" s="76"/>
      <c r="BU35" s="77">
        <f>+E35</f>
        <v>176600</v>
      </c>
      <c r="BV35" s="77">
        <f>+I35</f>
        <v>206000</v>
      </c>
      <c r="BW35" s="78">
        <f>+M35</f>
        <v>310000</v>
      </c>
      <c r="BX35" s="77">
        <f>+Q35</f>
        <v>330000</v>
      </c>
      <c r="BY35" s="78">
        <f>+U35</f>
        <v>298000</v>
      </c>
      <c r="BZ35" s="77">
        <f>+Y35</f>
        <v>169200</v>
      </c>
      <c r="CA35" s="78">
        <f>+AC35</f>
        <v>292900</v>
      </c>
      <c r="CB35" s="77">
        <f>+AG35</f>
        <v>283900</v>
      </c>
      <c r="CC35" s="79">
        <f>+AK35</f>
        <v>221400</v>
      </c>
      <c r="CD35" s="80">
        <f>+AO35</f>
        <v>233360</v>
      </c>
      <c r="CE35" s="79">
        <f>+AS35</f>
        <v>278810</v>
      </c>
      <c r="CF35" s="79">
        <f>+AW35</f>
        <v>305200</v>
      </c>
      <c r="CG35" s="79">
        <f>+BA35</f>
        <v>318800</v>
      </c>
      <c r="CH35" s="79">
        <f>+BE35</f>
        <v>319300</v>
      </c>
      <c r="CI35" s="79">
        <f>+BI35</f>
        <v>308000</v>
      </c>
      <c r="CJ35" s="79">
        <f>+BM35</f>
        <v>280900</v>
      </c>
      <c r="CK35" s="79">
        <f>+BQ35</f>
        <v>325100</v>
      </c>
      <c r="CL35" s="86"/>
    </row>
    <row r="36" spans="1:90" x14ac:dyDescent="0.15">
      <c r="A36" s="53" t="s">
        <v>150</v>
      </c>
      <c r="B36" s="81">
        <v>2494</v>
      </c>
      <c r="C36" s="45">
        <v>2595</v>
      </c>
      <c r="D36" s="81">
        <v>2964</v>
      </c>
      <c r="E36" s="46">
        <v>2939</v>
      </c>
      <c r="F36" s="18">
        <v>5310</v>
      </c>
      <c r="G36" s="45">
        <v>4341</v>
      </c>
      <c r="H36" s="69">
        <v>3941</v>
      </c>
      <c r="I36" s="46">
        <v>4039</v>
      </c>
      <c r="J36" s="69">
        <v>3460</v>
      </c>
      <c r="K36" s="45">
        <v>3490</v>
      </c>
      <c r="L36" s="69">
        <v>3788</v>
      </c>
      <c r="M36" s="46">
        <v>3990</v>
      </c>
      <c r="N36" s="69">
        <v>5670</v>
      </c>
      <c r="O36" s="45">
        <v>5304</v>
      </c>
      <c r="P36" s="69">
        <v>4992</v>
      </c>
      <c r="Q36" s="46">
        <v>4913</v>
      </c>
      <c r="R36" s="18">
        <v>5307</v>
      </c>
      <c r="S36" s="45">
        <v>4955</v>
      </c>
      <c r="T36" s="18">
        <v>4840</v>
      </c>
      <c r="U36" s="46">
        <v>4683</v>
      </c>
      <c r="V36" s="44">
        <v>4015</v>
      </c>
      <c r="W36" s="45">
        <v>3742</v>
      </c>
      <c r="X36" s="44">
        <v>3508</v>
      </c>
      <c r="Y36" s="46">
        <v>3342</v>
      </c>
      <c r="Z36" s="44">
        <v>2581</v>
      </c>
      <c r="AA36" s="45">
        <v>2801</v>
      </c>
      <c r="AB36" s="44">
        <v>3147</v>
      </c>
      <c r="AC36" s="46">
        <v>3447</v>
      </c>
      <c r="AD36" s="44">
        <v>3472</v>
      </c>
      <c r="AE36" s="45">
        <v>3321</v>
      </c>
      <c r="AF36" s="44">
        <v>3022</v>
      </c>
      <c r="AG36" s="46">
        <v>3232</v>
      </c>
      <c r="AH36" s="44">
        <v>2640</v>
      </c>
      <c r="AI36" s="44">
        <v>2866</v>
      </c>
      <c r="AJ36" s="44">
        <v>2845</v>
      </c>
      <c r="AK36" s="46">
        <v>2794</v>
      </c>
      <c r="AL36" s="44">
        <v>2447</v>
      </c>
      <c r="AM36" s="44">
        <v>2326</v>
      </c>
      <c r="AN36" s="44">
        <v>2189</v>
      </c>
      <c r="AO36" s="46">
        <v>2150</v>
      </c>
      <c r="AP36" s="44">
        <v>2157</v>
      </c>
      <c r="AQ36" s="44">
        <v>2078</v>
      </c>
      <c r="AR36" s="44">
        <v>2058.1732743573311</v>
      </c>
      <c r="AS36" s="46">
        <v>2118</v>
      </c>
      <c r="AT36" s="44">
        <v>2269</v>
      </c>
      <c r="AU36" s="44">
        <v>2148</v>
      </c>
      <c r="AV36" s="44">
        <v>2095</v>
      </c>
      <c r="AW36" s="46">
        <v>2099</v>
      </c>
      <c r="AX36" s="44">
        <v>2349</v>
      </c>
      <c r="AY36" s="44">
        <v>2201</v>
      </c>
      <c r="AZ36" s="44">
        <v>2098</v>
      </c>
      <c r="BA36" s="48">
        <v>2093</v>
      </c>
      <c r="BB36" s="44">
        <v>1890</v>
      </c>
      <c r="BC36" s="44">
        <v>1856</v>
      </c>
      <c r="BD36" s="44">
        <v>1764</v>
      </c>
      <c r="BE36" s="48">
        <v>1755</v>
      </c>
      <c r="BF36" s="44">
        <v>1823</v>
      </c>
      <c r="BG36" s="44">
        <v>1673</v>
      </c>
      <c r="BH36" s="44">
        <v>1568</v>
      </c>
      <c r="BI36" s="48">
        <v>1535</v>
      </c>
      <c r="BJ36" s="44">
        <v>1606</v>
      </c>
      <c r="BK36" s="44">
        <v>1484</v>
      </c>
      <c r="BL36" s="44">
        <v>1390</v>
      </c>
      <c r="BM36" s="48">
        <v>1368</v>
      </c>
      <c r="BN36" s="44">
        <v>1626</v>
      </c>
      <c r="BO36" s="44">
        <v>1505</v>
      </c>
      <c r="BP36" s="44">
        <v>1421</v>
      </c>
      <c r="BQ36" s="48">
        <v>1404</v>
      </c>
      <c r="BR36" s="44">
        <v>2175</v>
      </c>
      <c r="BS36" s="48">
        <v>2042</v>
      </c>
      <c r="BT36" s="45"/>
      <c r="BU36" s="46">
        <f>+E36</f>
        <v>2939</v>
      </c>
      <c r="BV36" s="46">
        <f>+I36</f>
        <v>4039</v>
      </c>
      <c r="BW36" s="46">
        <f>+M36</f>
        <v>3990</v>
      </c>
      <c r="BX36" s="46">
        <f>+Q36</f>
        <v>4913</v>
      </c>
      <c r="BY36" s="46">
        <f>+U36</f>
        <v>4683</v>
      </c>
      <c r="BZ36" s="46">
        <f>+Y36</f>
        <v>3342</v>
      </c>
      <c r="CA36" s="46">
        <f>+AC36</f>
        <v>3447</v>
      </c>
      <c r="CB36" s="46">
        <f>+AG36</f>
        <v>3232</v>
      </c>
      <c r="CC36" s="46">
        <f>+AK36</f>
        <v>2794</v>
      </c>
      <c r="CD36" s="46">
        <f>+AO36</f>
        <v>2150</v>
      </c>
      <c r="CE36" s="46">
        <f>+AS36</f>
        <v>2118</v>
      </c>
      <c r="CF36" s="46">
        <f>+AW36</f>
        <v>2099</v>
      </c>
      <c r="CG36" s="46">
        <f>+BA36</f>
        <v>2093</v>
      </c>
      <c r="CH36" s="48">
        <f>+BE36</f>
        <v>1755</v>
      </c>
      <c r="CI36" s="48">
        <f>+BI36</f>
        <v>1535</v>
      </c>
      <c r="CJ36" s="48">
        <f>+BM36</f>
        <v>1368</v>
      </c>
      <c r="CK36" s="48">
        <f>+BQ36</f>
        <v>1404</v>
      </c>
    </row>
    <row r="37" spans="1:90" x14ac:dyDescent="0.15">
      <c r="A37" s="53" t="s">
        <v>151</v>
      </c>
      <c r="B37" s="81">
        <v>-2208</v>
      </c>
      <c r="C37" s="45">
        <v>-2165</v>
      </c>
      <c r="D37" s="81">
        <v>-2175</v>
      </c>
      <c r="E37" s="46">
        <v>-2102</v>
      </c>
      <c r="F37" s="18">
        <v>-2211</v>
      </c>
      <c r="G37" s="45">
        <v>-2215</v>
      </c>
      <c r="H37" s="69">
        <v>-2184</v>
      </c>
      <c r="I37" s="46">
        <v>-2389</v>
      </c>
      <c r="J37" s="69">
        <v>-2115</v>
      </c>
      <c r="K37" s="45">
        <v>-2146</v>
      </c>
      <c r="L37" s="69">
        <v>-2142</v>
      </c>
      <c r="M37" s="46">
        <v>-2119</v>
      </c>
      <c r="N37" s="69">
        <v>-2615</v>
      </c>
      <c r="O37" s="45">
        <v>-2573</v>
      </c>
      <c r="P37" s="69">
        <v>-2623</v>
      </c>
      <c r="Q37" s="46">
        <v>-2715</v>
      </c>
      <c r="R37" s="18">
        <v>-2772</v>
      </c>
      <c r="S37" s="45">
        <v>-2724</v>
      </c>
      <c r="T37" s="18">
        <v>-2725</v>
      </c>
      <c r="U37" s="46">
        <v>-3010</v>
      </c>
      <c r="V37" s="44">
        <v>-2944</v>
      </c>
      <c r="W37" s="45">
        <v>-2803</v>
      </c>
      <c r="X37" s="44">
        <v>-2515</v>
      </c>
      <c r="Y37" s="46">
        <v>-2412</v>
      </c>
      <c r="Z37" s="44">
        <v>-2024</v>
      </c>
      <c r="AA37" s="45">
        <v>-2045</v>
      </c>
      <c r="AB37" s="44">
        <v>-2088</v>
      </c>
      <c r="AC37" s="46">
        <v>-2479</v>
      </c>
      <c r="AD37" s="44">
        <v>-2505</v>
      </c>
      <c r="AE37" s="45">
        <v>-2443</v>
      </c>
      <c r="AF37" s="44">
        <v>-2346</v>
      </c>
      <c r="AG37" s="46">
        <v>-2454</v>
      </c>
      <c r="AH37" s="44">
        <v>-1622</v>
      </c>
      <c r="AI37" s="44">
        <v>-2145</v>
      </c>
      <c r="AJ37" s="44">
        <v>-1985</v>
      </c>
      <c r="AK37" s="46">
        <v>-1918</v>
      </c>
      <c r="AL37" s="44">
        <v>-1546</v>
      </c>
      <c r="AM37" s="44">
        <v>-1567</v>
      </c>
      <c r="AN37" s="44">
        <v>-1556</v>
      </c>
      <c r="AO37" s="46">
        <v>-1539</v>
      </c>
      <c r="AP37" s="44">
        <v>-1434</v>
      </c>
      <c r="AQ37" s="44">
        <v>-1378</v>
      </c>
      <c r="AR37" s="44">
        <v>-1365.3255055921838</v>
      </c>
      <c r="AS37" s="46">
        <v>-1391</v>
      </c>
      <c r="AT37" s="44">
        <v>-1399</v>
      </c>
      <c r="AU37" s="44">
        <v>-1381</v>
      </c>
      <c r="AV37" s="44">
        <v>-1363</v>
      </c>
      <c r="AW37" s="46">
        <v>-1348</v>
      </c>
      <c r="AX37" s="44">
        <v>-1278</v>
      </c>
      <c r="AY37" s="44">
        <v>-1262</v>
      </c>
      <c r="AZ37" s="44">
        <v>-1234</v>
      </c>
      <c r="BA37" s="48">
        <v>-1243</v>
      </c>
      <c r="BB37" s="44">
        <v>-1245</v>
      </c>
      <c r="BC37" s="44">
        <v>-1233</v>
      </c>
      <c r="BD37" s="44">
        <v>-1179</v>
      </c>
      <c r="BE37" s="48">
        <v>-1173</v>
      </c>
      <c r="BF37" s="44">
        <v>-1353</v>
      </c>
      <c r="BG37" s="44">
        <v>-1367</v>
      </c>
      <c r="BH37" s="44">
        <v>-1266</v>
      </c>
      <c r="BI37" s="48">
        <v>-1244</v>
      </c>
      <c r="BJ37" s="44">
        <v>-1362</v>
      </c>
      <c r="BK37" s="44">
        <v>-1278</v>
      </c>
      <c r="BL37" s="44">
        <v>-1200</v>
      </c>
      <c r="BM37" s="48">
        <v>-1183</v>
      </c>
      <c r="BN37" s="44">
        <v>-1078</v>
      </c>
      <c r="BO37" s="44">
        <v>-1059</v>
      </c>
      <c r="BP37" s="44">
        <v>-1015</v>
      </c>
      <c r="BQ37" s="48">
        <v>-1037</v>
      </c>
      <c r="BR37" s="44">
        <v>-874</v>
      </c>
      <c r="BS37" s="48">
        <v>-836</v>
      </c>
      <c r="BT37" s="45"/>
      <c r="BU37" s="46">
        <f>+E37</f>
        <v>-2102</v>
      </c>
      <c r="BV37" s="46">
        <f>+I37</f>
        <v>-2389</v>
      </c>
      <c r="BW37" s="46">
        <f>+M37</f>
        <v>-2119</v>
      </c>
      <c r="BX37" s="46">
        <f>+Q37</f>
        <v>-2715</v>
      </c>
      <c r="BY37" s="46">
        <f>+U37</f>
        <v>-3010</v>
      </c>
      <c r="BZ37" s="46">
        <f>+Y37</f>
        <v>-2412</v>
      </c>
      <c r="CA37" s="46">
        <f>+AC37</f>
        <v>-2479</v>
      </c>
      <c r="CB37" s="46">
        <f>+AG37</f>
        <v>-2454</v>
      </c>
      <c r="CC37" s="46">
        <f>+AK37</f>
        <v>-1918</v>
      </c>
      <c r="CD37" s="46">
        <f>+AO37</f>
        <v>-1539</v>
      </c>
      <c r="CE37" s="46">
        <f>+AS37</f>
        <v>-1391</v>
      </c>
      <c r="CF37" s="46">
        <f>+AW37</f>
        <v>-1348</v>
      </c>
      <c r="CG37" s="46">
        <f>+BA37</f>
        <v>-1243</v>
      </c>
      <c r="CH37" s="48">
        <f>+BE37</f>
        <v>-1173</v>
      </c>
      <c r="CI37" s="48">
        <f>+BI37</f>
        <v>-1244</v>
      </c>
      <c r="CJ37" s="48">
        <f>+BM37</f>
        <v>-1183</v>
      </c>
      <c r="CK37" s="48">
        <f>+BQ37</f>
        <v>-1037</v>
      </c>
    </row>
    <row r="38" spans="1:90" x14ac:dyDescent="0.15">
      <c r="A38" s="53" t="s">
        <v>152</v>
      </c>
      <c r="B38" s="44">
        <f t="shared" ref="B38:U38" si="20">+B36+B37</f>
        <v>286</v>
      </c>
      <c r="C38" s="44">
        <f t="shared" si="20"/>
        <v>430</v>
      </c>
      <c r="D38" s="44">
        <f t="shared" si="20"/>
        <v>789</v>
      </c>
      <c r="E38" s="48">
        <f t="shared" si="20"/>
        <v>837</v>
      </c>
      <c r="F38" s="44">
        <f t="shared" si="20"/>
        <v>3099</v>
      </c>
      <c r="G38" s="44">
        <f t="shared" si="20"/>
        <v>2126</v>
      </c>
      <c r="H38" s="44">
        <f t="shared" si="20"/>
        <v>1757</v>
      </c>
      <c r="I38" s="48">
        <f t="shared" si="20"/>
        <v>1650</v>
      </c>
      <c r="J38" s="44">
        <f t="shared" si="20"/>
        <v>1345</v>
      </c>
      <c r="K38" s="44">
        <f t="shared" si="20"/>
        <v>1344</v>
      </c>
      <c r="L38" s="44">
        <f t="shared" si="20"/>
        <v>1646</v>
      </c>
      <c r="M38" s="48">
        <f t="shared" si="20"/>
        <v>1871</v>
      </c>
      <c r="N38" s="44">
        <f t="shared" si="20"/>
        <v>3055</v>
      </c>
      <c r="O38" s="44">
        <f t="shared" si="20"/>
        <v>2731</v>
      </c>
      <c r="P38" s="44">
        <f t="shared" si="20"/>
        <v>2369</v>
      </c>
      <c r="Q38" s="48">
        <f t="shared" si="20"/>
        <v>2198</v>
      </c>
      <c r="R38" s="44">
        <f t="shared" si="20"/>
        <v>2535</v>
      </c>
      <c r="S38" s="44">
        <f t="shared" si="20"/>
        <v>2231</v>
      </c>
      <c r="T38" s="44">
        <f t="shared" si="20"/>
        <v>2115</v>
      </c>
      <c r="U38" s="48">
        <f t="shared" si="20"/>
        <v>1673</v>
      </c>
      <c r="V38" s="44">
        <v>1071</v>
      </c>
      <c r="W38" s="44">
        <f>+W36+W37</f>
        <v>939</v>
      </c>
      <c r="X38" s="44">
        <v>993</v>
      </c>
      <c r="Y38" s="48">
        <f>+Y36+Y37</f>
        <v>930</v>
      </c>
      <c r="Z38" s="44">
        <v>557</v>
      </c>
      <c r="AA38" s="44">
        <f>+AA36+AA37</f>
        <v>756</v>
      </c>
      <c r="AB38" s="44">
        <v>1059</v>
      </c>
      <c r="AC38" s="48">
        <v>968</v>
      </c>
      <c r="AD38" s="44">
        <v>967</v>
      </c>
      <c r="AE38" s="44">
        <v>878</v>
      </c>
      <c r="AF38" s="44">
        <v>675</v>
      </c>
      <c r="AG38" s="48">
        <v>778</v>
      </c>
      <c r="AH38" s="44">
        <v>1018</v>
      </c>
      <c r="AI38" s="44">
        <v>721</v>
      </c>
      <c r="AJ38" s="44">
        <v>860</v>
      </c>
      <c r="AK38" s="48">
        <v>876</v>
      </c>
      <c r="AL38" s="44">
        <v>901</v>
      </c>
      <c r="AM38" s="44">
        <v>759</v>
      </c>
      <c r="AN38" s="44">
        <v>633</v>
      </c>
      <c r="AO38" s="48">
        <v>611</v>
      </c>
      <c r="AP38" s="44">
        <v>723</v>
      </c>
      <c r="AQ38" s="44">
        <v>700</v>
      </c>
      <c r="AR38" s="44">
        <v>692.84776876514729</v>
      </c>
      <c r="AS38" s="48">
        <v>727</v>
      </c>
      <c r="AT38" s="44">
        <v>870</v>
      </c>
      <c r="AU38" s="44">
        <v>767</v>
      </c>
      <c r="AV38" s="44">
        <v>732</v>
      </c>
      <c r="AW38" s="46">
        <v>751</v>
      </c>
      <c r="AX38" s="44">
        <v>1071</v>
      </c>
      <c r="AY38" s="44">
        <v>940</v>
      </c>
      <c r="AZ38" s="44">
        <v>863</v>
      </c>
      <c r="BA38" s="48">
        <v>850</v>
      </c>
      <c r="BB38" s="44">
        <v>645</v>
      </c>
      <c r="BC38" s="44">
        <v>623</v>
      </c>
      <c r="BD38" s="44">
        <v>584</v>
      </c>
      <c r="BE38" s="48">
        <v>582</v>
      </c>
      <c r="BF38" s="44">
        <f t="shared" ref="BF38:BS38" si="21">+BF36+BF37</f>
        <v>470</v>
      </c>
      <c r="BG38" s="44">
        <f t="shared" si="21"/>
        <v>306</v>
      </c>
      <c r="BH38" s="44">
        <f t="shared" si="21"/>
        <v>302</v>
      </c>
      <c r="BI38" s="48">
        <f t="shared" si="21"/>
        <v>291</v>
      </c>
      <c r="BJ38" s="44">
        <f t="shared" si="21"/>
        <v>244</v>
      </c>
      <c r="BK38" s="44">
        <f t="shared" si="21"/>
        <v>206</v>
      </c>
      <c r="BL38" s="44">
        <f t="shared" si="21"/>
        <v>190</v>
      </c>
      <c r="BM38" s="48">
        <f t="shared" si="21"/>
        <v>185</v>
      </c>
      <c r="BN38" s="44">
        <f t="shared" si="21"/>
        <v>548</v>
      </c>
      <c r="BO38" s="44">
        <f t="shared" si="21"/>
        <v>446</v>
      </c>
      <c r="BP38" s="44">
        <f t="shared" si="21"/>
        <v>406</v>
      </c>
      <c r="BQ38" s="48">
        <f t="shared" si="21"/>
        <v>367</v>
      </c>
      <c r="BR38" s="44">
        <f t="shared" si="21"/>
        <v>1301</v>
      </c>
      <c r="BS38" s="48">
        <f t="shared" si="21"/>
        <v>1206</v>
      </c>
      <c r="BT38" s="45"/>
      <c r="BU38" s="46">
        <f>+E38</f>
        <v>837</v>
      </c>
      <c r="BV38" s="46">
        <f>+I38</f>
        <v>1650</v>
      </c>
      <c r="BW38" s="46">
        <f>+M38</f>
        <v>1871</v>
      </c>
      <c r="BX38" s="46">
        <f>+Q38</f>
        <v>2198</v>
      </c>
      <c r="BY38" s="46">
        <f>+U38</f>
        <v>1673</v>
      </c>
      <c r="BZ38" s="46">
        <f>+Y38</f>
        <v>930</v>
      </c>
      <c r="CA38" s="46">
        <f>+AC38</f>
        <v>968</v>
      </c>
      <c r="CB38" s="46">
        <f>+AG38</f>
        <v>778</v>
      </c>
      <c r="CC38" s="46">
        <f>+AK38</f>
        <v>876</v>
      </c>
      <c r="CD38" s="46">
        <f>+AO38</f>
        <v>611</v>
      </c>
      <c r="CE38" s="46">
        <f>+AS38</f>
        <v>727</v>
      </c>
      <c r="CF38" s="46">
        <f>+AW38</f>
        <v>751</v>
      </c>
      <c r="CG38" s="46">
        <f>+BA38</f>
        <v>850</v>
      </c>
      <c r="CH38" s="48">
        <f>+BE38</f>
        <v>582</v>
      </c>
      <c r="CI38" s="48">
        <f>+BI38</f>
        <v>291</v>
      </c>
      <c r="CJ38" s="48">
        <f>+BM38</f>
        <v>185</v>
      </c>
      <c r="CK38" s="48">
        <f>+BQ38</f>
        <v>367</v>
      </c>
    </row>
    <row r="39" spans="1:90" x14ac:dyDescent="0.15">
      <c r="A39" s="53"/>
      <c r="B39" s="69"/>
      <c r="C39" s="53"/>
      <c r="D39" s="69"/>
      <c r="E39" s="74"/>
      <c r="F39" s="69"/>
      <c r="G39" s="53"/>
      <c r="H39" s="69"/>
      <c r="I39" s="74"/>
      <c r="J39" s="69"/>
      <c r="K39" s="53"/>
      <c r="L39" s="69"/>
      <c r="M39" s="74"/>
      <c r="N39" s="69"/>
      <c r="O39" s="53"/>
      <c r="Q39" s="74"/>
      <c r="S39" s="53"/>
      <c r="U39" s="74"/>
      <c r="V39" s="53"/>
      <c r="W39" s="53"/>
      <c r="X39" s="53"/>
      <c r="Y39" s="74"/>
      <c r="Z39" s="53"/>
      <c r="AA39" s="53"/>
      <c r="AB39" s="44"/>
      <c r="AC39" s="74"/>
      <c r="AD39" s="44"/>
      <c r="AE39" s="53"/>
      <c r="AF39" s="44"/>
      <c r="AG39" s="74"/>
      <c r="AH39" s="44"/>
      <c r="AI39" s="44"/>
      <c r="AJ39" s="44"/>
      <c r="AK39" s="74"/>
      <c r="AL39" s="44"/>
      <c r="AM39" s="44"/>
      <c r="AN39" s="44"/>
      <c r="AO39" s="74"/>
      <c r="AP39" s="44"/>
      <c r="AR39" s="44"/>
      <c r="AS39" s="74"/>
      <c r="AT39" s="44"/>
      <c r="AV39" s="44"/>
      <c r="AW39" s="74"/>
      <c r="AY39" s="35"/>
      <c r="AZ39" s="35"/>
      <c r="BA39" s="36"/>
      <c r="BB39" s="35"/>
      <c r="BE39" s="36"/>
      <c r="BF39" s="33"/>
      <c r="BG39" s="75"/>
      <c r="BI39" s="36"/>
      <c r="BJ39" s="33"/>
      <c r="BK39" s="75"/>
      <c r="BM39" s="36"/>
      <c r="BN39" s="33"/>
      <c r="BO39" s="75"/>
      <c r="BQ39" s="36"/>
      <c r="BS39" s="36"/>
      <c r="BT39" s="44"/>
      <c r="BU39" s="87"/>
      <c r="BV39" s="87"/>
      <c r="BW39" s="37"/>
      <c r="BX39" s="87"/>
      <c r="BY39" s="37"/>
      <c r="BZ39" s="87"/>
      <c r="CA39" s="37"/>
      <c r="CB39" s="87"/>
      <c r="CC39" s="34"/>
      <c r="CD39" s="48"/>
      <c r="CE39" s="34"/>
      <c r="CF39" s="34"/>
      <c r="CG39" s="34"/>
      <c r="CH39" s="36"/>
      <c r="CI39" s="36"/>
      <c r="CJ39" s="36"/>
      <c r="CK39" s="36"/>
    </row>
    <row r="40" spans="1:90" x14ac:dyDescent="0.15">
      <c r="A40" s="53" t="s">
        <v>153</v>
      </c>
      <c r="B40" s="44">
        <v>1416.7</v>
      </c>
      <c r="C40" s="88">
        <v>1543.3</v>
      </c>
      <c r="D40" s="44">
        <v>1604</v>
      </c>
      <c r="E40" s="47">
        <v>1736.395</v>
      </c>
      <c r="F40" s="44">
        <v>1924.6</v>
      </c>
      <c r="G40" s="88">
        <v>1997.5</v>
      </c>
      <c r="H40" s="44">
        <v>2188.5</v>
      </c>
      <c r="I40" s="47">
        <v>2642.9</v>
      </c>
      <c r="J40" s="44">
        <v>3014.9</v>
      </c>
      <c r="K40" s="88">
        <v>3456.9</v>
      </c>
      <c r="L40" s="44">
        <v>4138.3999999999996</v>
      </c>
      <c r="M40" s="47">
        <v>4138.3999999999996</v>
      </c>
      <c r="N40" s="44">
        <v>5260.2</v>
      </c>
      <c r="O40" s="88">
        <v>6148.9</v>
      </c>
      <c r="P40" s="44">
        <v>6043.3</v>
      </c>
      <c r="Q40" s="47">
        <v>5912.8</v>
      </c>
      <c r="R40" s="44">
        <v>7267</v>
      </c>
      <c r="S40" s="88">
        <v>7940.5</v>
      </c>
      <c r="T40" s="44">
        <v>7667.4</v>
      </c>
      <c r="U40" s="47">
        <v>8203</v>
      </c>
      <c r="V40" s="44">
        <v>7800.5</v>
      </c>
      <c r="W40" s="88">
        <v>7723.2</v>
      </c>
      <c r="X40" s="83">
        <v>6767.6</v>
      </c>
      <c r="Y40" s="47">
        <v>6812.7</v>
      </c>
      <c r="Z40" s="83">
        <v>7396.2</v>
      </c>
      <c r="AA40" s="88">
        <v>8691.7999999999993</v>
      </c>
      <c r="AB40" s="83">
        <v>11860.9</v>
      </c>
      <c r="AC40" s="47">
        <v>11022.3</v>
      </c>
      <c r="AD40" s="83">
        <v>11797.4</v>
      </c>
      <c r="AE40" s="88">
        <v>12034.7</v>
      </c>
      <c r="AF40" s="83">
        <v>12032.9</v>
      </c>
      <c r="AG40" s="47">
        <v>11227.5</v>
      </c>
      <c r="AH40" s="83">
        <v>11118.4</v>
      </c>
      <c r="AI40" s="83">
        <v>12260.1</v>
      </c>
      <c r="AJ40" s="83">
        <v>13235.4</v>
      </c>
      <c r="AK40" s="47">
        <v>12887.1</v>
      </c>
      <c r="AL40" s="83">
        <v>12320.4</v>
      </c>
      <c r="AM40" s="83">
        <v>13377.8</v>
      </c>
      <c r="AN40" s="83">
        <v>13255.4</v>
      </c>
      <c r="AO40" s="47">
        <v>12815.4</v>
      </c>
      <c r="AP40" s="83">
        <v>11836.8</v>
      </c>
      <c r="AQ40" s="83">
        <v>12876.5</v>
      </c>
      <c r="AR40" s="83">
        <v>13547.871999999999</v>
      </c>
      <c r="AS40" s="47">
        <v>14391.8</v>
      </c>
      <c r="AT40" s="83">
        <v>16469.099999999999</v>
      </c>
      <c r="AU40" s="83">
        <v>18542.2</v>
      </c>
      <c r="AV40" s="83">
        <v>18307.7</v>
      </c>
      <c r="AW40" s="47">
        <v>19725.599999999999</v>
      </c>
      <c r="AX40" s="83">
        <v>22550.7</v>
      </c>
      <c r="AY40" s="83">
        <v>25851.7</v>
      </c>
      <c r="AZ40" s="83">
        <v>25412.6</v>
      </c>
      <c r="BA40" s="54">
        <v>23726.7</v>
      </c>
      <c r="BB40" s="83">
        <v>25296.9</v>
      </c>
      <c r="BC40" s="83">
        <v>28969.9</v>
      </c>
      <c r="BD40" s="83">
        <v>29366.3</v>
      </c>
      <c r="BE40" s="54">
        <v>29131.5</v>
      </c>
      <c r="BF40" s="83">
        <v>30144</v>
      </c>
      <c r="BG40" s="83">
        <v>32988</v>
      </c>
      <c r="BH40" s="83">
        <v>33773.1</v>
      </c>
      <c r="BI40" s="54">
        <v>34341.199999999997</v>
      </c>
      <c r="BJ40" s="83">
        <v>35980.199999999997</v>
      </c>
      <c r="BK40" s="83">
        <v>40553.599999999999</v>
      </c>
      <c r="BL40" s="83">
        <v>40919.767</v>
      </c>
      <c r="BM40" s="54">
        <v>43022.845999999998</v>
      </c>
      <c r="BN40" s="83">
        <v>41249.788</v>
      </c>
      <c r="BO40" s="83">
        <v>44415.936999999998</v>
      </c>
      <c r="BP40" s="83">
        <v>45100.406000000003</v>
      </c>
      <c r="BQ40" s="54">
        <v>45011.677000000003</v>
      </c>
      <c r="BR40" s="83">
        <v>67031.312000000005</v>
      </c>
      <c r="BS40" s="54">
        <v>61789.7</v>
      </c>
      <c r="BT40" s="89"/>
      <c r="BU40" s="90">
        <f>+E40</f>
        <v>1736.395</v>
      </c>
      <c r="BV40" s="90">
        <f>+I40</f>
        <v>2642.9</v>
      </c>
      <c r="BW40" s="91">
        <f>+M40</f>
        <v>4138.3999999999996</v>
      </c>
      <c r="BX40" s="90">
        <f>+Q40</f>
        <v>5912.8</v>
      </c>
      <c r="BY40" s="91">
        <f>+U40</f>
        <v>8203</v>
      </c>
      <c r="BZ40" s="90">
        <f>+Y40</f>
        <v>6812.7</v>
      </c>
      <c r="CA40" s="91">
        <f>+AC40</f>
        <v>11022.3</v>
      </c>
      <c r="CB40" s="90">
        <f>+AG40</f>
        <v>11227.5</v>
      </c>
      <c r="CC40" s="92">
        <f>+AK40</f>
        <v>12887.1</v>
      </c>
      <c r="CD40" s="93">
        <f>+AO40</f>
        <v>12815.4</v>
      </c>
      <c r="CE40" s="92">
        <f>+AS40</f>
        <v>14391.8</v>
      </c>
      <c r="CF40" s="92">
        <f>+AW40</f>
        <v>19725.599999999999</v>
      </c>
      <c r="CG40" s="92">
        <f>+BA40</f>
        <v>23726.7</v>
      </c>
      <c r="CH40" s="92">
        <f>+BE40</f>
        <v>29131.5</v>
      </c>
      <c r="CI40" s="92">
        <f>+BI40</f>
        <v>34341.199999999997</v>
      </c>
      <c r="CJ40" s="92">
        <f>+BM40</f>
        <v>43022.845999999998</v>
      </c>
      <c r="CK40" s="92">
        <f>+BQ40</f>
        <v>45011.677000000003</v>
      </c>
    </row>
    <row r="41" spans="1:90" ht="14" x14ac:dyDescent="0.3">
      <c r="A41" s="53" t="s">
        <v>154</v>
      </c>
      <c r="B41" s="94">
        <v>-300.60000000000002</v>
      </c>
      <c r="C41" s="95">
        <v>-326.60000000000002</v>
      </c>
      <c r="D41" s="94">
        <v>-496.5</v>
      </c>
      <c r="E41" s="96">
        <v>-620.87699999999995</v>
      </c>
      <c r="F41" s="94">
        <v>-921.7</v>
      </c>
      <c r="G41" s="95">
        <v>-1041.3</v>
      </c>
      <c r="H41" s="94">
        <v>-1183</v>
      </c>
      <c r="I41" s="96">
        <v>-1485.4</v>
      </c>
      <c r="J41" s="94">
        <v>-1757.8</v>
      </c>
      <c r="K41" s="95">
        <v>-1874.9</v>
      </c>
      <c r="L41" s="94">
        <v>-2332</v>
      </c>
      <c r="M41" s="96">
        <v>-2597.3000000000002</v>
      </c>
      <c r="N41" s="94">
        <v>-2831.2</v>
      </c>
      <c r="O41" s="95">
        <v>-2805.7</v>
      </c>
      <c r="P41" s="97">
        <v>-2990.9</v>
      </c>
      <c r="Q41" s="96">
        <v>-3282.4</v>
      </c>
      <c r="R41" s="97">
        <v>-3413.4</v>
      </c>
      <c r="S41" s="95">
        <v>-3629.6</v>
      </c>
      <c r="T41" s="94">
        <v>-4012.1</v>
      </c>
      <c r="U41" s="96">
        <v>-3828</v>
      </c>
      <c r="V41" s="94">
        <v>-3811.5</v>
      </c>
      <c r="W41" s="95">
        <v>-4392.6000000000004</v>
      </c>
      <c r="X41" s="98">
        <v>-3174.4</v>
      </c>
      <c r="Y41" s="96">
        <v>-2127.6999999999998</v>
      </c>
      <c r="Z41" s="98">
        <v>-2385.8000000000002</v>
      </c>
      <c r="AA41" s="95">
        <v>-2995.9</v>
      </c>
      <c r="AB41" s="98">
        <v>-3973.9</v>
      </c>
      <c r="AC41" s="96">
        <v>-4586.3</v>
      </c>
      <c r="AD41" s="98">
        <v>-4823.3999999999996</v>
      </c>
      <c r="AE41" s="95">
        <v>-4823.8999999999996</v>
      </c>
      <c r="AF41" s="98">
        <v>-5923.3</v>
      </c>
      <c r="AG41" s="96">
        <v>-6016.3</v>
      </c>
      <c r="AH41" s="98">
        <v>-6430.1</v>
      </c>
      <c r="AI41" s="98">
        <v>-5657.2</v>
      </c>
      <c r="AJ41" s="98">
        <v>-4700.8</v>
      </c>
      <c r="AK41" s="96">
        <v>-4629.7</v>
      </c>
      <c r="AL41" s="98">
        <v>-5388</v>
      </c>
      <c r="AM41" s="98">
        <v>-4977.3999999999996</v>
      </c>
      <c r="AN41" s="98">
        <v>-5046.3999999999996</v>
      </c>
      <c r="AO41" s="96">
        <v>-4737.3</v>
      </c>
      <c r="AP41" s="98">
        <v>-5302.9</v>
      </c>
      <c r="AQ41" s="98">
        <v>-5359.7</v>
      </c>
      <c r="AR41" s="98">
        <v>-5509.3140000000003</v>
      </c>
      <c r="AS41" s="96">
        <v>-5455.5</v>
      </c>
      <c r="AT41" s="98">
        <v>-5989.6</v>
      </c>
      <c r="AU41" s="98">
        <v>-5998.3</v>
      </c>
      <c r="AV41" s="98">
        <v>-6220.5</v>
      </c>
      <c r="AW41" s="96">
        <v>-5785.6</v>
      </c>
      <c r="AX41" s="98">
        <v>-6566.3</v>
      </c>
      <c r="AY41" s="98">
        <v>-6770.8</v>
      </c>
      <c r="AZ41" s="98">
        <v>-7282.2</v>
      </c>
      <c r="BA41" s="99">
        <v>-7278.1</v>
      </c>
      <c r="BB41" s="98">
        <v>-7875</v>
      </c>
      <c r="BC41" s="98">
        <v>-8211.4</v>
      </c>
      <c r="BD41" s="98">
        <v>-9192</v>
      </c>
      <c r="BE41" s="99">
        <v>-9516.4</v>
      </c>
      <c r="BF41" s="98">
        <v>-10455.5</v>
      </c>
      <c r="BG41" s="98">
        <v>-10864.3</v>
      </c>
      <c r="BH41" s="98">
        <v>-11295.5</v>
      </c>
      <c r="BI41" s="99">
        <v>-11852.1</v>
      </c>
      <c r="BJ41" s="98">
        <v>-13211.2</v>
      </c>
      <c r="BK41" s="98">
        <v>-13887.8</v>
      </c>
      <c r="BL41" s="98">
        <v>-14474.3</v>
      </c>
      <c r="BM41" s="99">
        <v>-14204.5</v>
      </c>
      <c r="BN41" s="98">
        <v>-15008.8</v>
      </c>
      <c r="BO41" s="98">
        <v>-15397.013000000001</v>
      </c>
      <c r="BP41" s="98">
        <v>-15710.987999999999</v>
      </c>
      <c r="BQ41" s="99">
        <v>-16127.777</v>
      </c>
      <c r="BR41" s="98">
        <v>-15941.182000000001</v>
      </c>
      <c r="BS41" s="99">
        <v>-17283.7</v>
      </c>
      <c r="BT41" s="100"/>
      <c r="BU41" s="101">
        <f>+E41</f>
        <v>-620.87699999999995</v>
      </c>
      <c r="BV41" s="101">
        <f>+I41</f>
        <v>-1485.4</v>
      </c>
      <c r="BW41" s="102">
        <f>+M41</f>
        <v>-2597.3000000000002</v>
      </c>
      <c r="BX41" s="101">
        <f>+Q41</f>
        <v>-3282.4</v>
      </c>
      <c r="BY41" s="102">
        <f>+U41</f>
        <v>-3828</v>
      </c>
      <c r="BZ41" s="101">
        <f>+Y41</f>
        <v>-2127.6999999999998</v>
      </c>
      <c r="CA41" s="102">
        <f>+AC41</f>
        <v>-4586.3</v>
      </c>
      <c r="CB41" s="101">
        <f>+AG41</f>
        <v>-6016.3</v>
      </c>
      <c r="CC41" s="103">
        <f>+AK41</f>
        <v>-4629.7</v>
      </c>
      <c r="CD41" s="104">
        <f>+AO41</f>
        <v>-4737.3</v>
      </c>
      <c r="CE41" s="103">
        <f>+AS41</f>
        <v>-5455.5</v>
      </c>
      <c r="CF41" s="103">
        <f>+AW41</f>
        <v>-5785.6</v>
      </c>
      <c r="CG41" s="103">
        <f>+BA41</f>
        <v>-7278.1</v>
      </c>
      <c r="CH41" s="103">
        <f>+BE41</f>
        <v>-9516.4</v>
      </c>
      <c r="CI41" s="103">
        <f>+BI41</f>
        <v>-11852.1</v>
      </c>
      <c r="CJ41" s="103">
        <f>+BM41</f>
        <v>-14204.5</v>
      </c>
      <c r="CK41" s="103">
        <f>+BQ41</f>
        <v>-16127.777</v>
      </c>
    </row>
    <row r="42" spans="1:90" x14ac:dyDescent="0.15">
      <c r="A42" s="53" t="s">
        <v>155</v>
      </c>
      <c r="B42" s="45">
        <f t="shared" ref="B42:BK42" si="22">SUM(B40:B41)</f>
        <v>1116.0999999999999</v>
      </c>
      <c r="C42" s="88">
        <f t="shared" si="22"/>
        <v>1216.6999999999998</v>
      </c>
      <c r="D42" s="45">
        <f t="shared" si="22"/>
        <v>1107.5</v>
      </c>
      <c r="E42" s="47">
        <f t="shared" si="22"/>
        <v>1115.518</v>
      </c>
      <c r="F42" s="45">
        <f t="shared" si="22"/>
        <v>1002.8999999999999</v>
      </c>
      <c r="G42" s="88">
        <f t="shared" si="22"/>
        <v>956.2</v>
      </c>
      <c r="H42" s="45">
        <f t="shared" si="22"/>
        <v>1005.5</v>
      </c>
      <c r="I42" s="47">
        <f t="shared" si="22"/>
        <v>1157.5</v>
      </c>
      <c r="J42" s="45">
        <f t="shared" si="22"/>
        <v>1257.1000000000001</v>
      </c>
      <c r="K42" s="88">
        <f t="shared" si="22"/>
        <v>1582</v>
      </c>
      <c r="L42" s="45">
        <f t="shared" si="22"/>
        <v>1806.3999999999996</v>
      </c>
      <c r="M42" s="47">
        <f t="shared" si="22"/>
        <v>1541.0999999999995</v>
      </c>
      <c r="N42" s="45">
        <f t="shared" si="22"/>
        <v>2429</v>
      </c>
      <c r="O42" s="88">
        <f t="shared" si="22"/>
        <v>3343.2</v>
      </c>
      <c r="P42" s="45">
        <f t="shared" si="22"/>
        <v>3052.4</v>
      </c>
      <c r="Q42" s="47">
        <f t="shared" si="22"/>
        <v>2630.4</v>
      </c>
      <c r="R42" s="45">
        <f t="shared" si="22"/>
        <v>3853.6</v>
      </c>
      <c r="S42" s="88">
        <f t="shared" si="22"/>
        <v>4310.8999999999996</v>
      </c>
      <c r="T42" s="45">
        <f t="shared" si="22"/>
        <v>3655.2999999999997</v>
      </c>
      <c r="U42" s="47">
        <f t="shared" si="22"/>
        <v>4375</v>
      </c>
      <c r="V42" s="45">
        <f t="shared" si="22"/>
        <v>3989</v>
      </c>
      <c r="W42" s="88">
        <f t="shared" si="22"/>
        <v>3330.5999999999995</v>
      </c>
      <c r="X42" s="88">
        <f t="shared" si="22"/>
        <v>3593.2000000000003</v>
      </c>
      <c r="Y42" s="47">
        <f t="shared" si="22"/>
        <v>4685</v>
      </c>
      <c r="Z42" s="88">
        <f t="shared" si="22"/>
        <v>5010.3999999999996</v>
      </c>
      <c r="AA42" s="88">
        <f t="shared" si="22"/>
        <v>5695.9</v>
      </c>
      <c r="AB42" s="88">
        <f t="shared" si="22"/>
        <v>7887</v>
      </c>
      <c r="AC42" s="47">
        <f t="shared" si="22"/>
        <v>6435.9999999999991</v>
      </c>
      <c r="AD42" s="88">
        <f t="shared" si="22"/>
        <v>6974</v>
      </c>
      <c r="AE42" s="88">
        <f t="shared" si="22"/>
        <v>7210.8000000000011</v>
      </c>
      <c r="AF42" s="88">
        <f t="shared" si="22"/>
        <v>6109.5999999999995</v>
      </c>
      <c r="AG42" s="47">
        <f t="shared" si="22"/>
        <v>5211.2</v>
      </c>
      <c r="AH42" s="88">
        <f t="shared" si="22"/>
        <v>4688.2999999999993</v>
      </c>
      <c r="AI42" s="88">
        <f t="shared" si="22"/>
        <v>6602.9000000000005</v>
      </c>
      <c r="AJ42" s="88">
        <f t="shared" si="22"/>
        <v>8534.5999999999985</v>
      </c>
      <c r="AK42" s="47">
        <f t="shared" si="22"/>
        <v>8257.4000000000015</v>
      </c>
      <c r="AL42" s="88">
        <f t="shared" si="22"/>
        <v>6932.4</v>
      </c>
      <c r="AM42" s="88">
        <f t="shared" si="22"/>
        <v>8400.4</v>
      </c>
      <c r="AN42" s="88">
        <f t="shared" si="22"/>
        <v>8209</v>
      </c>
      <c r="AO42" s="47">
        <f t="shared" si="22"/>
        <v>8078.0999999999995</v>
      </c>
      <c r="AP42" s="88">
        <f t="shared" si="22"/>
        <v>6533.9</v>
      </c>
      <c r="AQ42" s="83">
        <f t="shared" si="22"/>
        <v>7516.8</v>
      </c>
      <c r="AR42" s="88">
        <f t="shared" si="22"/>
        <v>8038.5579999999991</v>
      </c>
      <c r="AS42" s="47">
        <f t="shared" si="22"/>
        <v>8936.2999999999993</v>
      </c>
      <c r="AT42" s="88">
        <f t="shared" si="22"/>
        <v>10479.499999999998</v>
      </c>
      <c r="AU42" s="83">
        <f t="shared" si="22"/>
        <v>12543.900000000001</v>
      </c>
      <c r="AV42" s="88">
        <f t="shared" si="22"/>
        <v>12087.2</v>
      </c>
      <c r="AW42" s="47">
        <f t="shared" si="22"/>
        <v>13939.999999999998</v>
      </c>
      <c r="AX42" s="83">
        <f t="shared" si="22"/>
        <v>15984.400000000001</v>
      </c>
      <c r="AY42" s="83">
        <f t="shared" si="22"/>
        <v>19080.900000000001</v>
      </c>
      <c r="AZ42" s="83">
        <f t="shared" si="22"/>
        <v>18130.399999999998</v>
      </c>
      <c r="BA42" s="54">
        <f t="shared" si="22"/>
        <v>16448.599999999999</v>
      </c>
      <c r="BB42" s="83">
        <f t="shared" si="22"/>
        <v>17421.900000000001</v>
      </c>
      <c r="BC42" s="83">
        <f t="shared" si="22"/>
        <v>20758.5</v>
      </c>
      <c r="BD42" s="83">
        <f t="shared" si="22"/>
        <v>20174.3</v>
      </c>
      <c r="BE42" s="54">
        <f t="shared" si="22"/>
        <v>19615.099999999999</v>
      </c>
      <c r="BF42" s="83">
        <f t="shared" si="22"/>
        <v>19688.5</v>
      </c>
      <c r="BG42" s="83">
        <f t="shared" si="22"/>
        <v>22123.7</v>
      </c>
      <c r="BH42" s="83">
        <f t="shared" si="22"/>
        <v>22477.599999999999</v>
      </c>
      <c r="BI42" s="54">
        <f t="shared" si="22"/>
        <v>22489.1</v>
      </c>
      <c r="BJ42" s="83">
        <f t="shared" si="22"/>
        <v>22768.999999999996</v>
      </c>
      <c r="BK42" s="83">
        <f t="shared" si="22"/>
        <v>26665.8</v>
      </c>
      <c r="BL42" s="83">
        <f>SUM(BL40:BL41)</f>
        <v>26445.467000000001</v>
      </c>
      <c r="BM42" s="54">
        <f>SUM(BM40:BM41)</f>
        <v>28818.345999999998</v>
      </c>
      <c r="BN42" s="83">
        <f t="shared" ref="BN42:BS42" si="23">SUM(BN40:BN41)</f>
        <v>26240.988000000001</v>
      </c>
      <c r="BO42" s="83">
        <f t="shared" si="23"/>
        <v>29018.923999999999</v>
      </c>
      <c r="BP42" s="83">
        <f t="shared" si="23"/>
        <v>29389.418000000005</v>
      </c>
      <c r="BQ42" s="54">
        <f t="shared" si="23"/>
        <v>28883.9</v>
      </c>
      <c r="BR42" s="83">
        <f t="shared" si="23"/>
        <v>51090.130000000005</v>
      </c>
      <c r="BS42" s="54">
        <f t="shared" si="23"/>
        <v>44506</v>
      </c>
      <c r="BT42" s="105"/>
      <c r="BU42" s="106">
        <f t="shared" ref="BU42:CF42" si="24">SUM(BU40:BU41)</f>
        <v>1115.518</v>
      </c>
      <c r="BV42" s="106">
        <f t="shared" si="24"/>
        <v>1157.5</v>
      </c>
      <c r="BW42" s="107">
        <f t="shared" si="24"/>
        <v>1541.0999999999995</v>
      </c>
      <c r="BX42" s="106">
        <f t="shared" si="24"/>
        <v>2630.4</v>
      </c>
      <c r="BY42" s="107">
        <f t="shared" si="24"/>
        <v>4375</v>
      </c>
      <c r="BZ42" s="106">
        <f t="shared" si="24"/>
        <v>4685</v>
      </c>
      <c r="CA42" s="107">
        <f t="shared" si="24"/>
        <v>6435.9999999999991</v>
      </c>
      <c r="CB42" s="106">
        <f t="shared" si="24"/>
        <v>5211.2</v>
      </c>
      <c r="CC42" s="108">
        <f t="shared" si="24"/>
        <v>8257.4000000000015</v>
      </c>
      <c r="CD42" s="109">
        <f t="shared" si="24"/>
        <v>8078.0999999999995</v>
      </c>
      <c r="CE42" s="108">
        <f t="shared" si="24"/>
        <v>8936.2999999999993</v>
      </c>
      <c r="CF42" s="108">
        <f t="shared" si="24"/>
        <v>13939.999999999998</v>
      </c>
      <c r="CG42" s="108">
        <f>SUM(CG40:CG41)</f>
        <v>16448.599999999999</v>
      </c>
      <c r="CH42" s="108">
        <f>SUM(CH40:CH41)</f>
        <v>19615.099999999999</v>
      </c>
      <c r="CI42" s="108">
        <f>SUM(CI40:CI41)</f>
        <v>22489.1</v>
      </c>
      <c r="CJ42" s="108">
        <f>SUM(CJ40:CJ41)</f>
        <v>28818.345999999998</v>
      </c>
      <c r="CK42" s="108">
        <f>SUM(CK40:CK41)</f>
        <v>28883.9</v>
      </c>
    </row>
    <row r="43" spans="1:90" x14ac:dyDescent="0.15">
      <c r="A43" s="53"/>
      <c r="B43" s="45"/>
      <c r="C43" s="53"/>
      <c r="D43" s="45"/>
      <c r="E43" s="74"/>
      <c r="F43" s="45"/>
      <c r="G43" s="53"/>
      <c r="H43" s="45"/>
      <c r="I43" s="74"/>
      <c r="J43" s="45"/>
      <c r="K43" s="53"/>
      <c r="L43" s="45"/>
      <c r="M43" s="74"/>
      <c r="N43" s="45"/>
      <c r="O43" s="53"/>
      <c r="P43" s="45"/>
      <c r="Q43" s="74"/>
      <c r="R43" s="45"/>
      <c r="S43" s="53"/>
      <c r="T43" s="45"/>
      <c r="U43" s="74"/>
      <c r="V43" s="53"/>
      <c r="W43" s="53"/>
      <c r="X43" s="53"/>
      <c r="Y43" s="74"/>
      <c r="Z43" s="53"/>
      <c r="AA43" s="53"/>
      <c r="AB43" s="53"/>
      <c r="AC43" s="74"/>
      <c r="AD43" s="53"/>
      <c r="AE43" s="53"/>
      <c r="AF43" s="53"/>
      <c r="AG43" s="74"/>
      <c r="AH43" s="53"/>
      <c r="AI43" s="53"/>
      <c r="AJ43" s="53"/>
      <c r="AK43" s="74"/>
      <c r="AL43" s="53"/>
      <c r="AM43" s="53"/>
      <c r="AN43" s="88"/>
      <c r="AO43" s="74"/>
      <c r="AP43" s="88"/>
      <c r="AQ43" s="83"/>
      <c r="AR43" s="88"/>
      <c r="AS43" s="74"/>
      <c r="AT43" s="88"/>
      <c r="AU43" s="83"/>
      <c r="AV43" s="88"/>
      <c r="AW43" s="74"/>
      <c r="AX43" s="83"/>
      <c r="AY43" s="110"/>
      <c r="AZ43" s="110"/>
      <c r="BA43" s="111"/>
      <c r="BB43" s="110"/>
      <c r="BC43" s="110"/>
      <c r="BD43" s="110"/>
      <c r="BE43" s="111"/>
      <c r="BF43" s="110"/>
      <c r="BG43" s="112"/>
      <c r="BH43" s="110"/>
      <c r="BI43" s="111"/>
      <c r="BJ43" s="110"/>
      <c r="BK43" s="112"/>
      <c r="BL43" s="110"/>
      <c r="BM43" s="111"/>
      <c r="BN43" s="110"/>
      <c r="BO43" s="112"/>
      <c r="BP43" s="110"/>
      <c r="BQ43" s="111"/>
      <c r="BR43" s="110"/>
      <c r="BS43" s="111"/>
      <c r="BT43" s="88"/>
      <c r="BU43" s="113"/>
      <c r="BV43" s="113"/>
      <c r="BW43" s="114"/>
      <c r="BX43" s="113"/>
      <c r="BY43" s="114"/>
      <c r="BZ43" s="113"/>
      <c r="CA43" s="114"/>
      <c r="CB43" s="113"/>
      <c r="CC43" s="54"/>
      <c r="CD43" s="47"/>
      <c r="CE43" s="54"/>
      <c r="CF43" s="54"/>
      <c r="CG43" s="54"/>
      <c r="CH43" s="111"/>
      <c r="CI43" s="111"/>
      <c r="CJ43" s="111"/>
      <c r="CK43" s="111"/>
    </row>
    <row r="44" spans="1:90" x14ac:dyDescent="0.15">
      <c r="A44" s="53" t="s">
        <v>39</v>
      </c>
      <c r="B44" s="115">
        <f t="shared" ref="B44:BM44" si="25">+B42/B34</f>
        <v>0.18601666666666666</v>
      </c>
      <c r="C44" s="115">
        <f t="shared" si="25"/>
        <v>0.15208749999999999</v>
      </c>
      <c r="D44" s="115">
        <f t="shared" si="25"/>
        <v>0.12305555555555556</v>
      </c>
      <c r="E44" s="116">
        <f t="shared" si="25"/>
        <v>0.10141072727272728</v>
      </c>
      <c r="F44" s="115">
        <f t="shared" si="25"/>
        <v>7.1635714285714275E-2</v>
      </c>
      <c r="G44" s="115">
        <f t="shared" si="25"/>
        <v>6.3746666666666674E-2</v>
      </c>
      <c r="H44" s="115">
        <f t="shared" si="25"/>
        <v>6.2843750000000004E-2</v>
      </c>
      <c r="I44" s="116">
        <f t="shared" si="25"/>
        <v>5.5119047619047616E-2</v>
      </c>
      <c r="J44" s="115">
        <f t="shared" si="25"/>
        <v>5.2379166666666671E-2</v>
      </c>
      <c r="K44" s="115">
        <f t="shared" si="25"/>
        <v>5.8592592592592592E-2</v>
      </c>
      <c r="L44" s="115">
        <f t="shared" si="25"/>
        <v>5.6449999999999986E-2</v>
      </c>
      <c r="M44" s="116">
        <f t="shared" si="25"/>
        <v>4.2808333333333316E-2</v>
      </c>
      <c r="N44" s="115">
        <f t="shared" si="25"/>
        <v>5.6488372093023258E-2</v>
      </c>
      <c r="O44" s="115">
        <f t="shared" si="25"/>
        <v>7.959999999999999E-2</v>
      </c>
      <c r="P44" s="115">
        <f t="shared" si="25"/>
        <v>6.937272727272728E-2</v>
      </c>
      <c r="Q44" s="116">
        <f t="shared" si="25"/>
        <v>5.3681632653061223E-2</v>
      </c>
      <c r="R44" s="115">
        <f t="shared" si="25"/>
        <v>7.1362962962962961E-2</v>
      </c>
      <c r="S44" s="115">
        <f t="shared" si="25"/>
        <v>7.5629824561403505E-2</v>
      </c>
      <c r="T44" s="115">
        <f t="shared" si="25"/>
        <v>6.3022413793103443E-2</v>
      </c>
      <c r="U44" s="116">
        <f t="shared" si="25"/>
        <v>7.9545454545454544E-2</v>
      </c>
      <c r="V44" s="115">
        <f t="shared" si="25"/>
        <v>7.6711538461538456E-2</v>
      </c>
      <c r="W44" s="115">
        <f t="shared" si="25"/>
        <v>6.2841509433962259E-2</v>
      </c>
      <c r="X44" s="115">
        <f t="shared" si="25"/>
        <v>7.98488888888889E-2</v>
      </c>
      <c r="Y44" s="116">
        <f t="shared" si="25"/>
        <v>0.12012820512820513</v>
      </c>
      <c r="Z44" s="115">
        <f t="shared" si="25"/>
        <v>0.11652093023255813</v>
      </c>
      <c r="AA44" s="115">
        <f t="shared" si="25"/>
        <v>0.10547962962962962</v>
      </c>
      <c r="AB44" s="115">
        <f t="shared" si="25"/>
        <v>8.7633333333333327E-2</v>
      </c>
      <c r="AC44" s="116">
        <f t="shared" si="25"/>
        <v>7.1511111111111095E-2</v>
      </c>
      <c r="AD44" s="115">
        <f t="shared" si="25"/>
        <v>7.264583333333334E-2</v>
      </c>
      <c r="AE44" s="115">
        <f t="shared" si="25"/>
        <v>7.9239560439560458E-2</v>
      </c>
      <c r="AF44" s="115">
        <f t="shared" si="25"/>
        <v>6.3641666666666666E-2</v>
      </c>
      <c r="AG44" s="116">
        <f t="shared" si="25"/>
        <v>5.109019607843137E-2</v>
      </c>
      <c r="AH44" s="115">
        <f t="shared" si="25"/>
        <v>4.4229245283018859E-2</v>
      </c>
      <c r="AI44" s="115">
        <f t="shared" si="25"/>
        <v>6.4105825242718448E-2</v>
      </c>
      <c r="AJ44" s="115">
        <f t="shared" si="25"/>
        <v>9.8098850574712626E-2</v>
      </c>
      <c r="AK44" s="116">
        <f t="shared" si="25"/>
        <v>9.1748888888888908E-2</v>
      </c>
      <c r="AL44" s="115">
        <f t="shared" si="25"/>
        <v>6.863762376237624E-2</v>
      </c>
      <c r="AM44" s="115">
        <f t="shared" si="25"/>
        <v>8.7504166666666661E-2</v>
      </c>
      <c r="AN44" s="115">
        <f t="shared" si="25"/>
        <v>8.2089999999999996E-2</v>
      </c>
      <c r="AO44" s="116">
        <f t="shared" si="25"/>
        <v>7.7674038461538461E-2</v>
      </c>
      <c r="AP44" s="115">
        <f t="shared" si="25"/>
        <v>5.8338392857142853E-2</v>
      </c>
      <c r="AQ44" s="115">
        <f t="shared" si="25"/>
        <v>6.5363478260869565E-2</v>
      </c>
      <c r="AR44" s="115">
        <f t="shared" si="25"/>
        <v>6.3295732283464565E-2</v>
      </c>
      <c r="AS44" s="116">
        <f t="shared" si="25"/>
        <v>6.5708088235294115E-2</v>
      </c>
      <c r="AT44" s="115">
        <f t="shared" si="25"/>
        <v>7.2272413793103438E-2</v>
      </c>
      <c r="AU44" s="115">
        <f t="shared" si="25"/>
        <v>8.0928387096774204E-2</v>
      </c>
      <c r="AV44" s="115">
        <f t="shared" si="25"/>
        <v>7.5545000000000001E-2</v>
      </c>
      <c r="AW44" s="116">
        <f t="shared" si="25"/>
        <v>8.3975903614457822E-2</v>
      </c>
      <c r="AX44" s="115">
        <f t="shared" si="25"/>
        <v>8.2820725388601038E-2</v>
      </c>
      <c r="AY44" s="115">
        <f t="shared" si="25"/>
        <v>9.9900000000000003E-2</v>
      </c>
      <c r="AZ44" s="115">
        <f t="shared" si="25"/>
        <v>9.8002162162162149E-2</v>
      </c>
      <c r="BA44" s="116">
        <f t="shared" si="25"/>
        <v>8.2242999999999997E-2</v>
      </c>
      <c r="BB44" s="115">
        <f t="shared" si="25"/>
        <v>8.8436040609137068E-2</v>
      </c>
      <c r="BC44" s="115">
        <f t="shared" si="25"/>
        <v>0.1012609756097561</v>
      </c>
      <c r="BD44" s="115">
        <f t="shared" si="25"/>
        <v>8.9663555555555552E-2</v>
      </c>
      <c r="BE44" s="116">
        <f t="shared" si="25"/>
        <v>8.3468510638297869E-2</v>
      </c>
      <c r="BF44" s="115">
        <f t="shared" si="25"/>
        <v>8.0132275132275138E-2</v>
      </c>
      <c r="BG44" s="115">
        <f t="shared" si="25"/>
        <v>8.5189449364651518E-2</v>
      </c>
      <c r="BH44" s="115">
        <f t="shared" si="25"/>
        <v>8.4041008029280218E-2</v>
      </c>
      <c r="BI44" s="116">
        <f t="shared" si="25"/>
        <v>8.2559104258443455E-2</v>
      </c>
      <c r="BJ44" s="115">
        <f t="shared" si="25"/>
        <v>7.9279247910863493E-2</v>
      </c>
      <c r="BK44" s="115">
        <f t="shared" si="25"/>
        <v>8.5880193236714975E-2</v>
      </c>
      <c r="BL44" s="115">
        <f t="shared" si="25"/>
        <v>8.1647011423278792E-2</v>
      </c>
      <c r="BM44" s="116">
        <f t="shared" si="25"/>
        <v>0.1009399159369527</v>
      </c>
      <c r="BN44" s="115">
        <f t="shared" ref="BN44:BS44" si="26">+BN42/BN34</f>
        <v>8.1115882534775891E-2</v>
      </c>
      <c r="BO44" s="115">
        <f t="shared" si="26"/>
        <v>8.2043890302516256E-2</v>
      </c>
      <c r="BP44" s="115">
        <f t="shared" si="26"/>
        <v>8.0474857612267262E-2</v>
      </c>
      <c r="BQ44" s="116">
        <f t="shared" si="26"/>
        <v>7.3216476552598234E-2</v>
      </c>
      <c r="BR44" s="117">
        <f t="shared" si="26"/>
        <v>0.14395641025641026</v>
      </c>
      <c r="BS44" s="116">
        <f t="shared" si="26"/>
        <v>0.10481865284974093</v>
      </c>
      <c r="BT44" s="117"/>
      <c r="BU44" s="116">
        <f>+BU42/BU34</f>
        <v>0.10141072727272728</v>
      </c>
      <c r="BV44" s="116">
        <f>+BV42/BV34</f>
        <v>5.5119047619047616E-2</v>
      </c>
      <c r="BW44" s="116">
        <f t="shared" ref="BW44:CF44" si="27">+BW42/BW34</f>
        <v>4.2808333333333316E-2</v>
      </c>
      <c r="BX44" s="116">
        <f t="shared" si="27"/>
        <v>5.3681632653061223E-2</v>
      </c>
      <c r="BY44" s="116">
        <f t="shared" si="27"/>
        <v>7.9545454545454544E-2</v>
      </c>
      <c r="BZ44" s="116">
        <f t="shared" si="27"/>
        <v>0.12012820512820513</v>
      </c>
      <c r="CA44" s="116">
        <f t="shared" si="27"/>
        <v>7.1511111111111095E-2</v>
      </c>
      <c r="CB44" s="116">
        <f t="shared" si="27"/>
        <v>5.109019607843137E-2</v>
      </c>
      <c r="CC44" s="116">
        <f t="shared" si="27"/>
        <v>9.1748888888888908E-2</v>
      </c>
      <c r="CD44" s="117">
        <f t="shared" si="27"/>
        <v>7.7674038461538461E-2</v>
      </c>
      <c r="CE44" s="116">
        <f t="shared" si="27"/>
        <v>6.5708088235294115E-2</v>
      </c>
      <c r="CF44" s="116">
        <f t="shared" si="27"/>
        <v>8.3975903614457822E-2</v>
      </c>
      <c r="CG44" s="116">
        <f>+CG42/CG34</f>
        <v>8.2242999999999997E-2</v>
      </c>
      <c r="CH44" s="116">
        <f>+CH42/CH34</f>
        <v>8.3468510638297869E-2</v>
      </c>
      <c r="CI44" s="116">
        <f>+CI42/CI34</f>
        <v>8.2559104258443455E-2</v>
      </c>
      <c r="CJ44" s="116">
        <f>+CJ42/CJ34</f>
        <v>0.1009399159369527</v>
      </c>
      <c r="CK44" s="116">
        <f>+CK42/CK34</f>
        <v>7.3216476552598234E-2</v>
      </c>
    </row>
    <row r="45" spans="1:90" x14ac:dyDescent="0.15">
      <c r="A45" s="53" t="s">
        <v>40</v>
      </c>
      <c r="B45" s="115">
        <f t="shared" ref="B45:BM45" si="28">-B41/B40</f>
        <v>0.21218324274722949</v>
      </c>
      <c r="C45" s="115">
        <f t="shared" si="28"/>
        <v>0.21162444113263787</v>
      </c>
      <c r="D45" s="115">
        <f t="shared" si="28"/>
        <v>0.30953865336658354</v>
      </c>
      <c r="E45" s="116">
        <f t="shared" si="28"/>
        <v>0.35756668269604552</v>
      </c>
      <c r="F45" s="115">
        <f t="shared" si="28"/>
        <v>0.47890470747168246</v>
      </c>
      <c r="G45" s="115">
        <f t="shared" si="28"/>
        <v>0.52130162703379224</v>
      </c>
      <c r="H45" s="115">
        <f t="shared" si="28"/>
        <v>0.5405528901073795</v>
      </c>
      <c r="I45" s="116">
        <f t="shared" si="28"/>
        <v>0.56203412917628359</v>
      </c>
      <c r="J45" s="115">
        <f t="shared" si="28"/>
        <v>0.58303758001923778</v>
      </c>
      <c r="K45" s="115">
        <f t="shared" si="28"/>
        <v>0.54236454626977926</v>
      </c>
      <c r="L45" s="115">
        <f t="shared" si="28"/>
        <v>0.56350280301565825</v>
      </c>
      <c r="M45" s="116">
        <f t="shared" si="28"/>
        <v>0.62760970423352025</v>
      </c>
      <c r="N45" s="115">
        <f t="shared" si="28"/>
        <v>0.53823048553286945</v>
      </c>
      <c r="O45" s="115">
        <f t="shared" si="28"/>
        <v>0.45629299549512919</v>
      </c>
      <c r="P45" s="115">
        <f t="shared" si="28"/>
        <v>0.49491172041765263</v>
      </c>
      <c r="Q45" s="116">
        <f t="shared" si="28"/>
        <v>0.55513462319036666</v>
      </c>
      <c r="R45" s="115">
        <f t="shared" si="28"/>
        <v>0.46971239851382968</v>
      </c>
      <c r="S45" s="115">
        <f t="shared" si="28"/>
        <v>0.45709967886153263</v>
      </c>
      <c r="T45" s="115">
        <f t="shared" si="28"/>
        <v>0.52326733964577299</v>
      </c>
      <c r="U45" s="116">
        <f t="shared" si="28"/>
        <v>0.46665853955869802</v>
      </c>
      <c r="V45" s="115">
        <f t="shared" si="28"/>
        <v>0.48862252419716684</v>
      </c>
      <c r="W45" s="115">
        <f t="shared" si="28"/>
        <v>0.56875388440024865</v>
      </c>
      <c r="X45" s="115">
        <f t="shared" si="28"/>
        <v>0.46905845499142973</v>
      </c>
      <c r="Y45" s="116">
        <f t="shared" si="28"/>
        <v>0.31231376693528262</v>
      </c>
      <c r="Z45" s="115">
        <f t="shared" si="28"/>
        <v>0.322571049998648</v>
      </c>
      <c r="AA45" s="115">
        <f t="shared" si="28"/>
        <v>0.34468119376883966</v>
      </c>
      <c r="AB45" s="115">
        <f t="shared" si="28"/>
        <v>0.33504202885109902</v>
      </c>
      <c r="AC45" s="116">
        <f t="shared" si="28"/>
        <v>0.41609282999011099</v>
      </c>
      <c r="AD45" s="115">
        <f t="shared" si="28"/>
        <v>0.40885279807415192</v>
      </c>
      <c r="AE45" s="115">
        <f t="shared" si="28"/>
        <v>0.40083259242025138</v>
      </c>
      <c r="AF45" s="115">
        <f t="shared" si="28"/>
        <v>0.49225872399837117</v>
      </c>
      <c r="AG45" s="116">
        <f t="shared" si="28"/>
        <v>0.53585393008238702</v>
      </c>
      <c r="AH45" s="115">
        <f t="shared" si="28"/>
        <v>0.57832961577205355</v>
      </c>
      <c r="AI45" s="115">
        <f t="shared" si="28"/>
        <v>0.46143179908809878</v>
      </c>
      <c r="AJ45" s="115">
        <f t="shared" si="28"/>
        <v>0.35516871420584195</v>
      </c>
      <c r="AK45" s="116">
        <f t="shared" si="28"/>
        <v>0.35925072359180882</v>
      </c>
      <c r="AL45" s="115">
        <f t="shared" si="28"/>
        <v>0.43732346352391155</v>
      </c>
      <c r="AM45" s="115">
        <f t="shared" si="28"/>
        <v>0.37206416600636877</v>
      </c>
      <c r="AN45" s="115">
        <f t="shared" si="28"/>
        <v>0.38070522202272278</v>
      </c>
      <c r="AO45" s="116">
        <f t="shared" si="28"/>
        <v>0.36965681913947285</v>
      </c>
      <c r="AP45" s="115">
        <f t="shared" si="28"/>
        <v>0.44800114895917814</v>
      </c>
      <c r="AQ45" s="115">
        <f t="shared" si="28"/>
        <v>0.4162388847901215</v>
      </c>
      <c r="AR45" s="115">
        <f t="shared" si="28"/>
        <v>0.40665530350449136</v>
      </c>
      <c r="AS45" s="116">
        <f t="shared" si="28"/>
        <v>0.37907002598702039</v>
      </c>
      <c r="AT45" s="115">
        <f t="shared" si="28"/>
        <v>0.36368714744582281</v>
      </c>
      <c r="AU45" s="115">
        <f t="shared" si="28"/>
        <v>0.3234945152139444</v>
      </c>
      <c r="AV45" s="115">
        <f t="shared" si="28"/>
        <v>0.33977506732140028</v>
      </c>
      <c r="AW45" s="116">
        <f t="shared" si="28"/>
        <v>0.29330413270065298</v>
      </c>
      <c r="AX45" s="115">
        <f t="shared" si="28"/>
        <v>0.29117943123716783</v>
      </c>
      <c r="AY45" s="115">
        <f t="shared" si="28"/>
        <v>0.26190927482525328</v>
      </c>
      <c r="AZ45" s="115">
        <f t="shared" si="28"/>
        <v>0.28655863626704864</v>
      </c>
      <c r="BA45" s="116">
        <f t="shared" si="28"/>
        <v>0.30674725098728439</v>
      </c>
      <c r="BB45" s="115">
        <f t="shared" si="28"/>
        <v>0.31130296597606821</v>
      </c>
      <c r="BC45" s="115">
        <f t="shared" si="28"/>
        <v>0.28344592145640818</v>
      </c>
      <c r="BD45" s="115">
        <f t="shared" si="28"/>
        <v>0.31301185372348578</v>
      </c>
      <c r="BE45" s="116">
        <f t="shared" si="28"/>
        <v>0.32667044264799272</v>
      </c>
      <c r="BF45" s="115">
        <f t="shared" si="28"/>
        <v>0.34685177813163481</v>
      </c>
      <c r="BG45" s="115">
        <f t="shared" si="28"/>
        <v>0.32934097247483929</v>
      </c>
      <c r="BH45" s="115">
        <f t="shared" si="28"/>
        <v>0.3344525672798766</v>
      </c>
      <c r="BI45" s="116">
        <f t="shared" si="28"/>
        <v>0.34512771830920297</v>
      </c>
      <c r="BJ45" s="115">
        <f t="shared" si="28"/>
        <v>0.36717972662742293</v>
      </c>
      <c r="BK45" s="115">
        <f t="shared" si="28"/>
        <v>0.34245541702832794</v>
      </c>
      <c r="BL45" s="115">
        <f t="shared" si="28"/>
        <v>0.35372391050027241</v>
      </c>
      <c r="BM45" s="116">
        <f t="shared" si="28"/>
        <v>0.33016179357358183</v>
      </c>
      <c r="BN45" s="115">
        <f t="shared" ref="BN45:BS45" si="29">-BN41/BN40</f>
        <v>0.36385156694623494</v>
      </c>
      <c r="BO45" s="115">
        <f t="shared" si="29"/>
        <v>0.34665514317529766</v>
      </c>
      <c r="BP45" s="115">
        <f t="shared" si="29"/>
        <v>0.34835579972384279</v>
      </c>
      <c r="BQ45" s="116">
        <f t="shared" si="29"/>
        <v>0.35830206903866296</v>
      </c>
      <c r="BR45" s="117">
        <f t="shared" si="29"/>
        <v>0.2378169473991498</v>
      </c>
      <c r="BS45" s="116">
        <f t="shared" si="29"/>
        <v>0.27971814072571971</v>
      </c>
      <c r="BT45" s="117"/>
      <c r="BU45" s="116">
        <f>-BU41/BU40</f>
        <v>0.35756668269604552</v>
      </c>
      <c r="BV45" s="116">
        <f>-BV41/BV40</f>
        <v>0.56203412917628359</v>
      </c>
      <c r="BW45" s="116">
        <f t="shared" ref="BW45:CF45" si="30">-BW41/BW40</f>
        <v>0.62760970423352025</v>
      </c>
      <c r="BX45" s="116">
        <f t="shared" si="30"/>
        <v>0.55513462319036666</v>
      </c>
      <c r="BY45" s="116">
        <f t="shared" si="30"/>
        <v>0.46665853955869802</v>
      </c>
      <c r="BZ45" s="116">
        <f t="shared" si="30"/>
        <v>0.31231376693528262</v>
      </c>
      <c r="CA45" s="116">
        <f t="shared" si="30"/>
        <v>0.41609282999011099</v>
      </c>
      <c r="CB45" s="116">
        <f t="shared" si="30"/>
        <v>0.53585393008238702</v>
      </c>
      <c r="CC45" s="116">
        <f t="shared" si="30"/>
        <v>0.35925072359180882</v>
      </c>
      <c r="CD45" s="117">
        <f t="shared" si="30"/>
        <v>0.36965681913947285</v>
      </c>
      <c r="CE45" s="116">
        <f t="shared" si="30"/>
        <v>0.37907002598702039</v>
      </c>
      <c r="CF45" s="116">
        <f t="shared" si="30"/>
        <v>0.29330413270065298</v>
      </c>
      <c r="CG45" s="116">
        <f>-CG41/CG40</f>
        <v>0.30674725098728439</v>
      </c>
      <c r="CH45" s="116">
        <f>-CH41/CH40</f>
        <v>0.32667044264799272</v>
      </c>
      <c r="CI45" s="116">
        <f>-CI41/CI40</f>
        <v>0.34512771830920297</v>
      </c>
      <c r="CJ45" s="116">
        <f>-CJ41/CJ40</f>
        <v>0.33016179357358183</v>
      </c>
      <c r="CK45" s="116">
        <f>-CK41/CK40</f>
        <v>0.35830206903866296</v>
      </c>
    </row>
    <row r="46" spans="1:90" x14ac:dyDescent="0.15">
      <c r="A46" s="53" t="s">
        <v>41</v>
      </c>
      <c r="B46" s="118">
        <f t="shared" ref="B46:BM46" si="31">B21/B41</f>
        <v>1.3306719893546241E-3</v>
      </c>
      <c r="C46" s="118">
        <f t="shared" si="31"/>
        <v>6.1236987140232701E-4</v>
      </c>
      <c r="D46" s="118">
        <f t="shared" si="31"/>
        <v>4.0281973816717019E-4</v>
      </c>
      <c r="E46" s="119">
        <f t="shared" si="31"/>
        <v>1.7072624690558677E-4</v>
      </c>
      <c r="F46" s="118">
        <f t="shared" si="31"/>
        <v>2.1699034392969513E-4</v>
      </c>
      <c r="G46" s="118">
        <f t="shared" si="31"/>
        <v>9.6033803898972449E-5</v>
      </c>
      <c r="H46" s="118">
        <f t="shared" si="31"/>
        <v>0</v>
      </c>
      <c r="I46" s="119">
        <f t="shared" si="31"/>
        <v>0</v>
      </c>
      <c r="J46" s="118">
        <f t="shared" si="31"/>
        <v>0</v>
      </c>
      <c r="K46" s="118">
        <f t="shared" si="31"/>
        <v>0</v>
      </c>
      <c r="L46" s="118">
        <f t="shared" si="31"/>
        <v>5.5746140651801032E-4</v>
      </c>
      <c r="M46" s="119">
        <f t="shared" si="31"/>
        <v>6.4682554960920929E-5</v>
      </c>
      <c r="N46" s="118">
        <f t="shared" si="31"/>
        <v>0</v>
      </c>
      <c r="O46" s="118">
        <f t="shared" si="31"/>
        <v>1.4256691734682969E-4</v>
      </c>
      <c r="P46" s="118">
        <f t="shared" si="31"/>
        <v>3.3434752081313316E-5</v>
      </c>
      <c r="Q46" s="119">
        <f t="shared" si="31"/>
        <v>-1.2186205215695832E-4</v>
      </c>
      <c r="R46" s="118">
        <f t="shared" si="31"/>
        <v>-2.9296302806585811E-5</v>
      </c>
      <c r="S46" s="118">
        <f t="shared" si="31"/>
        <v>1.6530747189772978E-4</v>
      </c>
      <c r="T46" s="118">
        <f t="shared" si="31"/>
        <v>0</v>
      </c>
      <c r="U46" s="119">
        <f t="shared" si="31"/>
        <v>1.3061650992685477E-4</v>
      </c>
      <c r="V46" s="118">
        <f t="shared" si="31"/>
        <v>5.2472779745507022E-5</v>
      </c>
      <c r="W46" s="118">
        <f t="shared" si="31"/>
        <v>0</v>
      </c>
      <c r="X46" s="118">
        <f t="shared" si="31"/>
        <v>7.2454637096774183E-4</v>
      </c>
      <c r="Y46" s="119">
        <f t="shared" si="31"/>
        <v>3.2899374911876675E-3</v>
      </c>
      <c r="Z46" s="118">
        <f t="shared" si="31"/>
        <v>2.0957330874339842E-4</v>
      </c>
      <c r="AA46" s="118">
        <f t="shared" si="31"/>
        <v>-3.337895123335225E-5</v>
      </c>
      <c r="AB46" s="118">
        <f t="shared" si="31"/>
        <v>4.7811973124638261E-4</v>
      </c>
      <c r="AC46" s="119">
        <f t="shared" si="31"/>
        <v>8.5035867692911493E-4</v>
      </c>
      <c r="AD46" s="118">
        <f t="shared" si="31"/>
        <v>0</v>
      </c>
      <c r="AE46" s="118">
        <f t="shared" si="31"/>
        <v>0</v>
      </c>
      <c r="AF46" s="118">
        <f t="shared" si="31"/>
        <v>8.4412405247075105E-5</v>
      </c>
      <c r="AG46" s="119">
        <f t="shared" si="31"/>
        <v>1.6122866213453451E-3</v>
      </c>
      <c r="AH46" s="118">
        <f t="shared" si="31"/>
        <v>1.8133466042518779E-3</v>
      </c>
      <c r="AI46" s="118">
        <f t="shared" si="31"/>
        <v>2.0328077494166726E-3</v>
      </c>
      <c r="AJ46" s="118">
        <f t="shared" si="31"/>
        <v>2.0634785568413886E-3</v>
      </c>
      <c r="AK46" s="119">
        <f t="shared" si="31"/>
        <v>1.7392055640754261E-3</v>
      </c>
      <c r="AL46" s="118">
        <f t="shared" si="31"/>
        <v>2.0415738678544915E-3</v>
      </c>
      <c r="AM46" s="118">
        <f t="shared" si="31"/>
        <v>2.3707156346687028E-3</v>
      </c>
      <c r="AN46" s="118">
        <f t="shared" si="31"/>
        <v>1.9221623335447051E-3</v>
      </c>
      <c r="AO46" s="119">
        <f t="shared" si="31"/>
        <v>2.5753066092499945E-3</v>
      </c>
      <c r="AP46" s="118">
        <f t="shared" si="31"/>
        <v>1.9800486526240359E-3</v>
      </c>
      <c r="AQ46" s="120">
        <f t="shared" si="31"/>
        <v>2.1456424799895517E-3</v>
      </c>
      <c r="AR46" s="118">
        <f t="shared" si="31"/>
        <v>1.506176631065138E-3</v>
      </c>
      <c r="AS46" s="119">
        <f t="shared" si="31"/>
        <v>1.558060672715608E-3</v>
      </c>
      <c r="AT46" s="118">
        <f t="shared" si="31"/>
        <v>1.8054628021904634E-3</v>
      </c>
      <c r="AU46" s="120">
        <f t="shared" si="31"/>
        <v>1.9343814080656184E-3</v>
      </c>
      <c r="AV46" s="118">
        <f t="shared" si="31"/>
        <v>1.6236636926292099E-3</v>
      </c>
      <c r="AW46" s="119">
        <f t="shared" si="31"/>
        <v>1.8148506637168139E-3</v>
      </c>
      <c r="AX46" s="120">
        <f t="shared" si="31"/>
        <v>1.7979684144799962E-3</v>
      </c>
      <c r="AY46" s="120">
        <f t="shared" si="31"/>
        <v>1.7379039404501683E-3</v>
      </c>
      <c r="AZ46" s="120">
        <f t="shared" si="31"/>
        <v>1.0998050039823131E-3</v>
      </c>
      <c r="BA46" s="121">
        <f t="shared" si="31"/>
        <v>1.3397727428861926E-3</v>
      </c>
      <c r="BB46" s="120">
        <f t="shared" si="31"/>
        <v>1.0566349206349206E-3</v>
      </c>
      <c r="BC46" s="120">
        <f t="shared" si="31"/>
        <v>7.6539932289256408E-4</v>
      </c>
      <c r="BD46" s="120">
        <f t="shared" si="31"/>
        <v>7.9503916449086157E-4</v>
      </c>
      <c r="BE46" s="121">
        <f t="shared" si="31"/>
        <v>7.5490731789332102E-4</v>
      </c>
      <c r="BF46" s="120">
        <f t="shared" si="31"/>
        <v>9.1157763856343553E-4</v>
      </c>
      <c r="BG46" s="120">
        <f t="shared" si="31"/>
        <v>8.4699428403118475E-4</v>
      </c>
      <c r="BH46" s="120">
        <f t="shared" si="31"/>
        <v>8.1120800318710998E-4</v>
      </c>
      <c r="BI46" s="121">
        <f t="shared" si="31"/>
        <v>6.2478379358932171E-4</v>
      </c>
      <c r="BJ46" s="120">
        <f t="shared" si="31"/>
        <v>7.5314884340559518E-4</v>
      </c>
      <c r="BK46" s="120">
        <f t="shared" si="31"/>
        <v>7.0003888304843098E-4</v>
      </c>
      <c r="BL46" s="120">
        <f t="shared" si="31"/>
        <v>8.0273312008180022E-4</v>
      </c>
      <c r="BM46" s="121">
        <f t="shared" si="31"/>
        <v>3.3165546129747616E-4</v>
      </c>
      <c r="BN46" s="120">
        <f t="shared" ref="BN46:BS46" si="32">BN21/BN41</f>
        <v>4.4960289963221579E-4</v>
      </c>
      <c r="BO46" s="120">
        <f t="shared" si="32"/>
        <v>7.6027733431153165E-4</v>
      </c>
      <c r="BP46" s="120">
        <f t="shared" si="32"/>
        <v>3.4886411981219771E-4</v>
      </c>
      <c r="BQ46" s="121">
        <f t="shared" si="32"/>
        <v>6.0206685645517052E-4</v>
      </c>
      <c r="BR46" s="122">
        <f t="shared" si="32"/>
        <v>1.1431398248887691E-3</v>
      </c>
      <c r="BS46" s="121">
        <f t="shared" si="32"/>
        <v>5.7881124990598071E-4</v>
      </c>
      <c r="BT46" s="118"/>
      <c r="BU46" s="119">
        <f>BU21/BU41</f>
        <v>1.4592262235515248E-3</v>
      </c>
      <c r="BV46" s="119">
        <f>BV21/BV41</f>
        <v>2.0196580045778916E-4</v>
      </c>
      <c r="BW46" s="119">
        <f t="shared" ref="BW46:CF46" si="33">BW21/BW41</f>
        <v>5.6520232549185688E-4</v>
      </c>
      <c r="BX46" s="119">
        <f t="shared" si="33"/>
        <v>3.0465513039239574E-5</v>
      </c>
      <c r="BY46" s="119">
        <f t="shared" si="33"/>
        <v>2.6123301985370953E-4</v>
      </c>
      <c r="BZ46" s="119">
        <f t="shared" si="33"/>
        <v>4.4649151666118344E-3</v>
      </c>
      <c r="CA46" s="119">
        <f t="shared" si="33"/>
        <v>1.3518522556309005E-3</v>
      </c>
      <c r="CB46" s="119">
        <f t="shared" si="33"/>
        <v>1.6953941791466515E-3</v>
      </c>
      <c r="CC46" s="119">
        <f t="shared" si="33"/>
        <v>8.8368576797632683E-3</v>
      </c>
      <c r="CD46" s="118">
        <f t="shared" si="33"/>
        <v>9.4357545437274391E-3</v>
      </c>
      <c r="CE46" s="119">
        <f t="shared" si="33"/>
        <v>7.1117221152964902E-3</v>
      </c>
      <c r="CF46" s="119">
        <f t="shared" si="33"/>
        <v>7.4351839048672564E-3</v>
      </c>
      <c r="CG46" s="119">
        <f>CG21/CG41</f>
        <v>5.6790920707327453E-3</v>
      </c>
      <c r="CH46" s="119">
        <f>CH21/CH41</f>
        <v>3.0576688663780426E-3</v>
      </c>
      <c r="CI46" s="119">
        <f>CI21/CI41</f>
        <v>2.9784595135039361E-3</v>
      </c>
      <c r="CJ46" s="119">
        <f>CJ21/CJ41</f>
        <v>2.5345489105565136E-3</v>
      </c>
      <c r="CK46" s="119">
        <f>CK21/CK41</f>
        <v>2.0861523568933278E-3</v>
      </c>
    </row>
    <row r="47" spans="1:90" x14ac:dyDescent="0.15">
      <c r="A47" s="53"/>
      <c r="B47" s="123"/>
      <c r="C47" s="53"/>
      <c r="D47" s="123"/>
      <c r="E47" s="74"/>
      <c r="F47" s="123"/>
      <c r="G47" s="53"/>
      <c r="H47" s="123"/>
      <c r="I47" s="74"/>
      <c r="J47" s="123"/>
      <c r="K47" s="53"/>
      <c r="L47" s="123"/>
      <c r="M47" s="74"/>
      <c r="N47" s="123"/>
      <c r="O47" s="53"/>
      <c r="P47" s="123"/>
      <c r="Q47" s="74"/>
      <c r="R47" s="123"/>
      <c r="S47" s="53"/>
      <c r="T47" s="123"/>
      <c r="U47" s="74"/>
      <c r="V47" s="53"/>
      <c r="W47" s="53"/>
      <c r="X47" s="53"/>
      <c r="Y47" s="74"/>
      <c r="Z47" s="53"/>
      <c r="AA47" s="53"/>
      <c r="AB47" s="53"/>
      <c r="AC47" s="74"/>
      <c r="AD47" s="53"/>
      <c r="AE47" s="53"/>
      <c r="AF47" s="53"/>
      <c r="AG47" s="74"/>
      <c r="AH47" s="53"/>
      <c r="AI47" s="53"/>
      <c r="AJ47" s="53"/>
      <c r="AK47" s="74"/>
      <c r="AL47" s="53"/>
      <c r="AM47" s="53"/>
      <c r="AN47" s="53"/>
      <c r="AO47" s="74"/>
      <c r="AP47" s="53"/>
      <c r="AR47" s="53"/>
      <c r="AS47" s="74"/>
      <c r="AT47" s="53"/>
      <c r="AV47" s="53"/>
      <c r="AW47" s="74"/>
      <c r="AY47" s="35"/>
      <c r="AZ47" s="35"/>
      <c r="BA47" s="36"/>
      <c r="BB47" s="35"/>
      <c r="BE47" s="36"/>
      <c r="BG47" s="75"/>
      <c r="BI47" s="36"/>
      <c r="BK47" s="75"/>
      <c r="BM47" s="36"/>
      <c r="BO47" s="75"/>
      <c r="BQ47" s="36"/>
      <c r="BS47" s="36"/>
      <c r="BT47" s="53"/>
      <c r="BU47" s="124"/>
      <c r="BV47" s="124"/>
      <c r="BW47" s="37"/>
      <c r="BX47" s="124"/>
      <c r="BY47" s="37"/>
      <c r="BZ47" s="124"/>
      <c r="CA47" s="37"/>
      <c r="CB47" s="124"/>
      <c r="CC47" s="34"/>
      <c r="CD47" s="74"/>
      <c r="CE47" s="34"/>
      <c r="CF47" s="34"/>
      <c r="CG47" s="34"/>
      <c r="CH47" s="36"/>
      <c r="CI47" s="36"/>
      <c r="CJ47" s="36"/>
      <c r="CK47" s="36"/>
    </row>
    <row r="48" spans="1:90" x14ac:dyDescent="0.15">
      <c r="A48" s="38" t="s">
        <v>42</v>
      </c>
      <c r="B48" s="123"/>
      <c r="C48" s="38"/>
      <c r="D48" s="123"/>
      <c r="E48" s="39"/>
      <c r="F48" s="123"/>
      <c r="G48" s="38"/>
      <c r="H48" s="123"/>
      <c r="I48" s="39"/>
      <c r="J48" s="123"/>
      <c r="K48" s="38"/>
      <c r="L48" s="123"/>
      <c r="M48" s="39"/>
      <c r="N48" s="123"/>
      <c r="O48" s="38"/>
      <c r="P48" s="88"/>
      <c r="Q48" s="39"/>
      <c r="R48" s="88"/>
      <c r="S48" s="38"/>
      <c r="T48" s="88"/>
      <c r="U48" s="39"/>
      <c r="V48" s="38"/>
      <c r="W48" s="38"/>
      <c r="X48" s="38"/>
      <c r="Y48" s="39"/>
      <c r="Z48" s="38"/>
      <c r="AA48" s="38"/>
      <c r="AB48" s="38"/>
      <c r="AC48" s="39"/>
      <c r="AD48" s="38"/>
      <c r="AE48" s="38"/>
      <c r="AF48" s="38"/>
      <c r="AG48" s="39"/>
      <c r="AH48" s="38"/>
      <c r="AI48" s="38"/>
      <c r="AJ48" s="38"/>
      <c r="AK48" s="39"/>
      <c r="AL48" s="38"/>
      <c r="AM48" s="38"/>
      <c r="AN48" s="38"/>
      <c r="AO48" s="39"/>
      <c r="AP48" s="38"/>
      <c r="AR48" s="38"/>
      <c r="AS48" s="39"/>
      <c r="AT48" s="38"/>
      <c r="AU48" s="117"/>
      <c r="AV48" s="117"/>
      <c r="AW48" s="39"/>
      <c r="AX48" s="38"/>
      <c r="AY48" s="117"/>
      <c r="AZ48" s="117"/>
      <c r="BA48" s="116"/>
      <c r="BB48" s="125"/>
      <c r="BC48" s="125"/>
      <c r="BD48" s="125"/>
      <c r="BE48" s="126"/>
      <c r="BF48" s="125"/>
      <c r="BG48" s="127"/>
      <c r="BH48" s="125"/>
      <c r="BI48" s="126"/>
      <c r="BJ48" s="125"/>
      <c r="BK48" s="127"/>
      <c r="BL48" s="125"/>
      <c r="BM48" s="126"/>
      <c r="BN48" s="125"/>
      <c r="BO48" s="127"/>
      <c r="BP48" s="125"/>
      <c r="BQ48" s="126"/>
      <c r="BR48" s="125"/>
      <c r="BS48" s="126"/>
      <c r="BT48" s="38"/>
      <c r="BU48" s="40"/>
      <c r="BV48" s="40"/>
      <c r="BW48" s="37"/>
      <c r="BX48" s="40"/>
      <c r="BY48" s="37"/>
      <c r="BZ48" s="40"/>
      <c r="CA48" s="37"/>
      <c r="CB48" s="40"/>
      <c r="CC48" s="34"/>
      <c r="CD48" s="39"/>
      <c r="CE48" s="34"/>
      <c r="CF48" s="34"/>
      <c r="CG48" s="34"/>
      <c r="CH48" s="36"/>
      <c r="CI48" s="36"/>
      <c r="CJ48" s="36"/>
      <c r="CK48" s="36"/>
    </row>
    <row r="49" spans="1:89" x14ac:dyDescent="0.15">
      <c r="A49" s="53" t="s">
        <v>43</v>
      </c>
      <c r="B49" s="44">
        <f>137803+99554+108129</f>
        <v>345486</v>
      </c>
      <c r="C49" s="45">
        <f>106108+113215+130997</f>
        <v>350320</v>
      </c>
      <c r="D49" s="44">
        <f>138795+182353+211382</f>
        <v>532530</v>
      </c>
      <c r="E49" s="46">
        <f>203386+189333+188562</f>
        <v>581281</v>
      </c>
      <c r="F49" s="44">
        <v>1033000</v>
      </c>
      <c r="G49" s="45">
        <v>564000</v>
      </c>
      <c r="H49" s="44">
        <v>508000</v>
      </c>
      <c r="I49" s="46">
        <v>1028000</v>
      </c>
      <c r="J49" s="44">
        <v>1232000</v>
      </c>
      <c r="K49" s="45">
        <v>1201000</v>
      </c>
      <c r="L49" s="44">
        <v>1548000</v>
      </c>
      <c r="M49" s="46">
        <v>1660000</v>
      </c>
      <c r="N49" s="45">
        <v>2188000</v>
      </c>
      <c r="O49" s="45">
        <v>2186000</v>
      </c>
      <c r="P49" s="45">
        <v>1604000</v>
      </c>
      <c r="Q49" s="46">
        <v>2025000</v>
      </c>
      <c r="R49" s="45">
        <v>2571000</v>
      </c>
      <c r="S49" s="45">
        <v>2036000</v>
      </c>
      <c r="T49" s="44">
        <v>2291000</v>
      </c>
      <c r="U49" s="46">
        <v>2504000</v>
      </c>
      <c r="V49" s="44">
        <v>2890000</v>
      </c>
      <c r="W49" s="45">
        <v>2386000</v>
      </c>
      <c r="X49" s="44">
        <v>2684000</v>
      </c>
      <c r="Y49" s="46">
        <v>3806000</v>
      </c>
      <c r="Z49" s="44">
        <v>3566000</v>
      </c>
      <c r="AA49" s="45">
        <v>4100000</v>
      </c>
      <c r="AB49" s="44">
        <v>4151000</v>
      </c>
      <c r="AC49" s="46">
        <v>4121000</v>
      </c>
      <c r="AD49" s="44">
        <v>4348100</v>
      </c>
      <c r="AE49" s="45">
        <v>4298600</v>
      </c>
      <c r="AF49" s="44">
        <v>3672600</v>
      </c>
      <c r="AG49" s="46">
        <v>3844700</v>
      </c>
      <c r="AH49" s="44">
        <v>4175300</v>
      </c>
      <c r="AI49" s="44">
        <v>3100100</v>
      </c>
      <c r="AJ49" s="44">
        <v>4185300</v>
      </c>
      <c r="AK49" s="46">
        <v>3850800</v>
      </c>
      <c r="AL49" s="44">
        <v>3972500</v>
      </c>
      <c r="AM49" s="44">
        <v>3055300</v>
      </c>
      <c r="AN49" s="44">
        <v>2840800</v>
      </c>
      <c r="AO49" s="46">
        <v>2870500</v>
      </c>
      <c r="AP49" s="44">
        <v>3531200</v>
      </c>
      <c r="AQ49" s="44">
        <v>3074600</v>
      </c>
      <c r="AR49" s="44">
        <v>3283100</v>
      </c>
      <c r="AS49" s="46">
        <v>3676800</v>
      </c>
      <c r="AT49" s="44">
        <v>4133500</v>
      </c>
      <c r="AU49" s="44">
        <v>3217500</v>
      </c>
      <c r="AV49" s="44">
        <v>3229700</v>
      </c>
      <c r="AW49" s="46">
        <v>4061800</v>
      </c>
      <c r="AX49" s="44">
        <v>4907400</v>
      </c>
      <c r="AY49" s="44">
        <v>4391500</v>
      </c>
      <c r="AZ49" s="44">
        <v>4798800</v>
      </c>
      <c r="BA49" s="48">
        <v>5734100</v>
      </c>
      <c r="BB49" s="44">
        <v>5893800</v>
      </c>
      <c r="BC49" s="44">
        <f>11297800-5893800</f>
        <v>5404000</v>
      </c>
      <c r="BD49" s="44">
        <v>5425800</v>
      </c>
      <c r="BE49" s="48">
        <v>6207900</v>
      </c>
      <c r="BF49" s="44">
        <v>6860800</v>
      </c>
      <c r="BG49" s="44">
        <v>6026000</v>
      </c>
      <c r="BH49" s="44">
        <v>6350300</v>
      </c>
      <c r="BI49" s="48">
        <v>6944200</v>
      </c>
      <c r="BJ49" s="44">
        <v>6745200</v>
      </c>
      <c r="BK49" s="44">
        <v>5976200</v>
      </c>
      <c r="BL49" s="44">
        <v>6413900</v>
      </c>
      <c r="BM49" s="48">
        <v>6984500</v>
      </c>
      <c r="BN49" s="44">
        <v>6935400</v>
      </c>
      <c r="BO49" s="44">
        <v>6582700</v>
      </c>
      <c r="BP49" s="44">
        <v>7316400</v>
      </c>
      <c r="BQ49" s="48">
        <v>7587800</v>
      </c>
      <c r="BR49" s="44">
        <v>14126900</v>
      </c>
      <c r="BS49" s="48">
        <v>14474600</v>
      </c>
      <c r="BT49" s="44"/>
      <c r="BU49" s="87">
        <f>SUM(B49:E49)</f>
        <v>1809617</v>
      </c>
      <c r="BV49" s="87">
        <f>SUM(F49:I49)</f>
        <v>3133000</v>
      </c>
      <c r="BW49" s="128">
        <f>SUM(J49:M49)</f>
        <v>5641000</v>
      </c>
      <c r="BX49" s="87">
        <f>SUM(N49:Q49)</f>
        <v>8003000</v>
      </c>
      <c r="BY49" s="87">
        <f>SUM(R49:U49)</f>
        <v>9402000</v>
      </c>
      <c r="BZ49" s="87">
        <f>SUM(V49:Y49)</f>
        <v>11766000</v>
      </c>
      <c r="CA49" s="87">
        <f>SUM(Z49:AC49)</f>
        <v>15938000</v>
      </c>
      <c r="CB49" s="129">
        <f>SUM(AD49:AG49)</f>
        <v>16164000</v>
      </c>
      <c r="CC49" s="130">
        <f>SUM(AH49:AK49)</f>
        <v>15311500</v>
      </c>
      <c r="CD49" s="130">
        <f>SUM(AL49:AO49)</f>
        <v>12739100</v>
      </c>
      <c r="CE49" s="130">
        <f>SUM(AP49:AS49)</f>
        <v>13565700</v>
      </c>
      <c r="CF49" s="130">
        <f>SUM(AT49:AW49)</f>
        <v>14642500</v>
      </c>
      <c r="CG49" s="130">
        <f>SUM(AX49:BA49)</f>
        <v>19831800</v>
      </c>
      <c r="CH49" s="130">
        <f>SUM(BB49:BE49)</f>
        <v>22931500</v>
      </c>
      <c r="CI49" s="130">
        <f>SUM(BF49:BI49)</f>
        <v>26181300</v>
      </c>
      <c r="CJ49" s="130">
        <f>SUM(BJ49:BM49)</f>
        <v>26119800</v>
      </c>
      <c r="CK49" s="51">
        <f>SUM(BN49:BQ49)</f>
        <v>28422300</v>
      </c>
    </row>
    <row r="50" spans="1:89" x14ac:dyDescent="0.15">
      <c r="A50" s="53" t="s">
        <v>44</v>
      </c>
      <c r="B50" s="44"/>
      <c r="C50" s="45"/>
      <c r="D50" s="44"/>
      <c r="E50" s="46"/>
      <c r="F50" s="44"/>
      <c r="G50" s="45"/>
      <c r="H50" s="44"/>
      <c r="I50" s="46"/>
      <c r="J50" s="44"/>
      <c r="K50" s="45"/>
      <c r="L50" s="44"/>
      <c r="M50" s="46"/>
      <c r="N50" s="45"/>
      <c r="O50" s="45"/>
      <c r="P50" s="45"/>
      <c r="Q50" s="46"/>
      <c r="R50" s="45"/>
      <c r="S50" s="45"/>
      <c r="T50" s="44"/>
      <c r="U50" s="46"/>
      <c r="V50" s="44"/>
      <c r="W50" s="45"/>
      <c r="X50" s="44"/>
      <c r="Y50" s="46"/>
      <c r="Z50" s="44"/>
      <c r="AA50" s="45"/>
      <c r="AB50" s="44"/>
      <c r="AC50" s="46"/>
      <c r="AD50" s="44"/>
      <c r="AE50" s="45"/>
      <c r="AF50" s="44"/>
      <c r="AG50" s="46"/>
      <c r="AH50" s="44"/>
      <c r="AI50" s="44"/>
      <c r="AJ50" s="44"/>
      <c r="AK50" s="46"/>
      <c r="AL50" s="44"/>
      <c r="AM50" s="44"/>
      <c r="AN50" s="44"/>
      <c r="AO50" s="46"/>
      <c r="AP50" s="44"/>
      <c r="AQ50" s="44"/>
      <c r="AR50" s="44"/>
      <c r="AS50" s="46"/>
      <c r="AT50" s="44">
        <v>645500</v>
      </c>
      <c r="AU50" s="44">
        <v>520000</v>
      </c>
      <c r="AV50" s="44">
        <v>564200</v>
      </c>
      <c r="AW50" s="46">
        <v>699000</v>
      </c>
      <c r="AX50" s="44">
        <v>824700</v>
      </c>
      <c r="AY50" s="44">
        <v>789800</v>
      </c>
      <c r="AZ50" s="44">
        <v>892300</v>
      </c>
      <c r="BA50" s="48">
        <v>1083600</v>
      </c>
      <c r="BB50" s="44">
        <v>1022600</v>
      </c>
      <c r="BC50" s="44">
        <v>963700</v>
      </c>
      <c r="BD50" s="44">
        <v>1022600</v>
      </c>
      <c r="BE50" s="48">
        <v>1141500</v>
      </c>
      <c r="BF50" s="44">
        <v>1253500</v>
      </c>
      <c r="BG50" s="44">
        <v>1073500</v>
      </c>
      <c r="BH50" s="44">
        <v>1186600</v>
      </c>
      <c r="BI50" s="48">
        <v>1384200</v>
      </c>
      <c r="BJ50" s="44">
        <v>1355400</v>
      </c>
      <c r="BK50" s="44">
        <v>1098400</v>
      </c>
      <c r="BL50" s="44">
        <v>1330000</v>
      </c>
      <c r="BM50" s="48">
        <v>1356700</v>
      </c>
      <c r="BN50" s="44">
        <v>1412400</v>
      </c>
      <c r="BO50" s="44">
        <v>1306900</v>
      </c>
      <c r="BP50" s="44">
        <v>1406400</v>
      </c>
      <c r="BQ50" s="48">
        <v>1503400</v>
      </c>
      <c r="BR50" s="44">
        <v>2878400</v>
      </c>
      <c r="BS50" s="48">
        <v>3369000</v>
      </c>
      <c r="BT50" s="83"/>
      <c r="BU50" s="114"/>
      <c r="BV50" s="114"/>
      <c r="BW50" s="113"/>
      <c r="BX50" s="114"/>
      <c r="BY50" s="114"/>
      <c r="BZ50" s="114"/>
      <c r="CA50" s="114"/>
      <c r="CB50" s="131"/>
      <c r="CC50" s="132"/>
      <c r="CD50" s="132"/>
      <c r="CE50" s="130"/>
      <c r="CF50" s="130">
        <f>SUM(AT50:AW50)</f>
        <v>2428700</v>
      </c>
      <c r="CG50" s="130">
        <f>SUM(AX50:BA50)</f>
        <v>3590400</v>
      </c>
      <c r="CH50" s="130">
        <f>SUM(BB50:BE50)</f>
        <v>4150400</v>
      </c>
      <c r="CI50" s="130">
        <f>SUM(BF50:BI50)</f>
        <v>4897800</v>
      </c>
      <c r="CJ50" s="130">
        <f>SUM(BJ50:BM50)</f>
        <v>5140500</v>
      </c>
      <c r="CK50" s="51">
        <f>SUM(BN50:BQ50)</f>
        <v>5629100</v>
      </c>
    </row>
    <row r="51" spans="1:89" x14ac:dyDescent="0.15">
      <c r="A51" s="53" t="s">
        <v>45</v>
      </c>
      <c r="B51" s="44"/>
      <c r="C51" s="45"/>
      <c r="D51" s="44"/>
      <c r="E51" s="46"/>
      <c r="F51" s="44"/>
      <c r="G51" s="45"/>
      <c r="H51" s="44"/>
      <c r="I51" s="46"/>
      <c r="J51" s="44"/>
      <c r="K51" s="45"/>
      <c r="L51" s="44"/>
      <c r="M51" s="46"/>
      <c r="N51" s="45"/>
      <c r="O51" s="45"/>
      <c r="P51" s="45"/>
      <c r="Q51" s="46"/>
      <c r="R51" s="45"/>
      <c r="S51" s="45"/>
      <c r="T51" s="44"/>
      <c r="U51" s="46"/>
      <c r="V51" s="44"/>
      <c r="W51" s="45"/>
      <c r="X51" s="44"/>
      <c r="Y51" s="46"/>
      <c r="Z51" s="44"/>
      <c r="AA51" s="45"/>
      <c r="AB51" s="44"/>
      <c r="AC51" s="46"/>
      <c r="AD51" s="44"/>
      <c r="AE51" s="45"/>
      <c r="AF51" s="44"/>
      <c r="AG51" s="46"/>
      <c r="AH51" s="44">
        <v>216615</v>
      </c>
      <c r="AI51" s="44">
        <v>149452</v>
      </c>
      <c r="AJ51" s="44">
        <v>177169</v>
      </c>
      <c r="AK51" s="46">
        <v>153918</v>
      </c>
      <c r="AL51" s="44">
        <v>164700</v>
      </c>
      <c r="AM51" s="44">
        <v>120729</v>
      </c>
      <c r="AN51" s="44">
        <v>106526</v>
      </c>
      <c r="AO51" s="46">
        <v>106397</v>
      </c>
      <c r="AP51" s="44">
        <v>132736</v>
      </c>
      <c r="AQ51" s="44">
        <v>114824</v>
      </c>
      <c r="AR51" s="44">
        <v>123351</v>
      </c>
      <c r="AS51" s="46">
        <v>138908</v>
      </c>
      <c r="AT51" s="44">
        <v>163749</v>
      </c>
      <c r="AU51" s="44">
        <v>129621</v>
      </c>
      <c r="AV51" s="44">
        <v>120744</v>
      </c>
      <c r="AW51" s="46">
        <v>155384</v>
      </c>
      <c r="AX51" s="44">
        <v>199026</v>
      </c>
      <c r="AY51" s="44">
        <v>176932</v>
      </c>
      <c r="AZ51" s="44">
        <v>183802</v>
      </c>
      <c r="BA51" s="48">
        <v>211597</v>
      </c>
      <c r="BB51" s="44">
        <v>198305</v>
      </c>
      <c r="BC51" s="44">
        <v>184449</v>
      </c>
      <c r="BD51" s="44">
        <v>186333</v>
      </c>
      <c r="BE51" s="48">
        <v>195096</v>
      </c>
      <c r="BF51" s="44">
        <v>208962.745</v>
      </c>
      <c r="BG51" s="44">
        <v>177384</v>
      </c>
      <c r="BH51" s="44">
        <v>178435.95368729832</v>
      </c>
      <c r="BI51" s="48">
        <v>201270.12</v>
      </c>
      <c r="BJ51" s="44">
        <v>205505.77565900001</v>
      </c>
      <c r="BK51" s="44">
        <v>183936.87277799999</v>
      </c>
      <c r="BL51" s="44">
        <v>183001.127735496</v>
      </c>
      <c r="BM51" s="48">
        <v>202444.9612247732</v>
      </c>
      <c r="BN51" s="44">
        <v>199931.80231100001</v>
      </c>
      <c r="BO51" s="44">
        <v>185629.83219972061</v>
      </c>
      <c r="BP51" s="44">
        <v>192783.815863</v>
      </c>
      <c r="BQ51" s="48">
        <v>211705.48254479506</v>
      </c>
      <c r="BR51" s="44">
        <v>410735.94233819097</v>
      </c>
      <c r="BS51" s="48">
        <v>371659.31</v>
      </c>
      <c r="BT51" s="83"/>
      <c r="BU51" s="114"/>
      <c r="BV51" s="114"/>
      <c r="BW51" s="113"/>
      <c r="BX51" s="114"/>
      <c r="BY51" s="114"/>
      <c r="BZ51" s="114"/>
      <c r="CA51" s="114"/>
      <c r="CB51" s="129"/>
      <c r="CC51" s="130">
        <f>SUM(AH51:AK51)</f>
        <v>697154</v>
      </c>
      <c r="CD51" s="130">
        <f>SUM(AL51:AO51)</f>
        <v>498352</v>
      </c>
      <c r="CE51" s="130">
        <f>SUM(AP51:AS51)</f>
        <v>509819</v>
      </c>
      <c r="CF51" s="130">
        <f>SUM(AT51:AW51)</f>
        <v>569498</v>
      </c>
      <c r="CG51" s="130">
        <f>SUM(AX51:BA51)</f>
        <v>771357</v>
      </c>
      <c r="CH51" s="130">
        <f>SUM(BB51:BE51)</f>
        <v>764183</v>
      </c>
      <c r="CI51" s="130">
        <f>SUM(BF51:BI51)</f>
        <v>766052.81868729834</v>
      </c>
      <c r="CJ51" s="130">
        <f>SUM(BJ51:BM51)</f>
        <v>774888.73739726923</v>
      </c>
      <c r="CK51" s="51">
        <f>SUM(BN51:BQ51)</f>
        <v>790050.93291851564</v>
      </c>
    </row>
    <row r="52" spans="1:89" x14ac:dyDescent="0.15">
      <c r="A52" s="53" t="s">
        <v>46</v>
      </c>
      <c r="B52" s="44">
        <v>62</v>
      </c>
      <c r="C52" s="53">
        <v>59</v>
      </c>
      <c r="D52" s="44">
        <v>66</v>
      </c>
      <c r="E52" s="74">
        <v>62</v>
      </c>
      <c r="F52" s="44">
        <v>64</v>
      </c>
      <c r="G52" s="53">
        <v>60</v>
      </c>
      <c r="H52" s="44">
        <v>66</v>
      </c>
      <c r="I52" s="74">
        <v>64</v>
      </c>
      <c r="J52" s="45">
        <v>62</v>
      </c>
      <c r="K52" s="53">
        <v>63</v>
      </c>
      <c r="L52" s="45">
        <v>66</v>
      </c>
      <c r="M52" s="74">
        <v>64</v>
      </c>
      <c r="N52" s="45">
        <v>65</v>
      </c>
      <c r="O52" s="53">
        <v>64</v>
      </c>
      <c r="P52" s="45">
        <v>65</v>
      </c>
      <c r="Q52" s="74">
        <v>64</v>
      </c>
      <c r="R52" s="45">
        <v>64</v>
      </c>
      <c r="S52" s="53">
        <v>62</v>
      </c>
      <c r="T52" s="44">
        <v>65</v>
      </c>
      <c r="U52" s="74">
        <v>65</v>
      </c>
      <c r="V52" s="53">
        <v>64</v>
      </c>
      <c r="W52" s="53">
        <v>65</v>
      </c>
      <c r="X52" s="53">
        <v>66</v>
      </c>
      <c r="Y52" s="74">
        <v>62</v>
      </c>
      <c r="Z52" s="53">
        <v>63</v>
      </c>
      <c r="AA52" s="53">
        <v>64</v>
      </c>
      <c r="AB52" s="53">
        <v>66</v>
      </c>
      <c r="AC52" s="74">
        <v>65</v>
      </c>
      <c r="AD52" s="53">
        <v>63</v>
      </c>
      <c r="AE52" s="53">
        <v>62</v>
      </c>
      <c r="AF52" s="53">
        <v>66</v>
      </c>
      <c r="AG52" s="74">
        <v>64</v>
      </c>
      <c r="AH52" s="53">
        <v>63</v>
      </c>
      <c r="AI52" s="53">
        <v>59</v>
      </c>
      <c r="AJ52" s="53">
        <v>66</v>
      </c>
      <c r="AK52" s="74">
        <v>64</v>
      </c>
      <c r="AL52" s="53">
        <v>64</v>
      </c>
      <c r="AM52" s="53">
        <v>59</v>
      </c>
      <c r="AN52" s="53">
        <v>65</v>
      </c>
      <c r="AO52" s="74">
        <v>61</v>
      </c>
      <c r="AP52" s="53">
        <v>63.5</v>
      </c>
      <c r="AQ52" s="33">
        <v>59</v>
      </c>
      <c r="AR52" s="53">
        <v>66</v>
      </c>
      <c r="AS52" s="74">
        <v>62</v>
      </c>
      <c r="AT52" s="53">
        <v>62</v>
      </c>
      <c r="AU52" s="33">
        <v>58</v>
      </c>
      <c r="AV52" s="53">
        <v>66</v>
      </c>
      <c r="AW52" s="74">
        <v>61</v>
      </c>
      <c r="AX52" s="33">
        <v>62</v>
      </c>
      <c r="AY52" s="33">
        <v>58</v>
      </c>
      <c r="AZ52" s="33">
        <v>66</v>
      </c>
      <c r="BA52" s="34">
        <v>62</v>
      </c>
      <c r="BB52" s="33">
        <v>60</v>
      </c>
      <c r="BC52" s="49">
        <v>62</v>
      </c>
      <c r="BD52" s="49">
        <v>66</v>
      </c>
      <c r="BE52" s="51">
        <v>63</v>
      </c>
      <c r="BF52" s="33">
        <v>64</v>
      </c>
      <c r="BG52" s="33">
        <v>58</v>
      </c>
      <c r="BH52" s="33">
        <v>64</v>
      </c>
      <c r="BI52" s="51">
        <v>63</v>
      </c>
      <c r="BJ52" s="33">
        <v>62</v>
      </c>
      <c r="BK52" s="33">
        <v>59</v>
      </c>
      <c r="BL52" s="33">
        <v>65</v>
      </c>
      <c r="BM52" s="51">
        <v>61.5</v>
      </c>
      <c r="BN52" s="33">
        <v>63</v>
      </c>
      <c r="BO52" s="33">
        <v>56.5</v>
      </c>
      <c r="BP52" s="33">
        <v>66</v>
      </c>
      <c r="BQ52" s="51">
        <v>61.5</v>
      </c>
      <c r="BR52" s="49">
        <v>63</v>
      </c>
      <c r="BS52" s="51">
        <v>58.5</v>
      </c>
      <c r="BT52" s="133"/>
      <c r="BU52" s="134">
        <f>SUM(B52:E52)</f>
        <v>249</v>
      </c>
      <c r="BV52" s="134">
        <f>SUM(F52:I52)</f>
        <v>254</v>
      </c>
      <c r="BW52" s="50">
        <f>SUM(J52:M52)</f>
        <v>255</v>
      </c>
      <c r="BX52" s="134">
        <f>SUM(N52:Q52)</f>
        <v>258</v>
      </c>
      <c r="BY52" s="50">
        <f>SUM(R52:U52)</f>
        <v>256</v>
      </c>
      <c r="BZ52" s="134">
        <f>SUM(V52:Y52)</f>
        <v>257</v>
      </c>
      <c r="CA52" s="50">
        <f>SUM(Z52:AC52)</f>
        <v>258</v>
      </c>
      <c r="CB52" s="134">
        <f>SUM(AD52:AG52)</f>
        <v>255</v>
      </c>
      <c r="CC52" s="51">
        <f>SUM(AH52:AK52)</f>
        <v>252</v>
      </c>
      <c r="CD52" s="135">
        <f>SUM(AL52:AO52)</f>
        <v>249</v>
      </c>
      <c r="CE52" s="51">
        <f>SUM(AP52:AS52)</f>
        <v>250.5</v>
      </c>
      <c r="CF52" s="51">
        <f>SUM(AT52:AW52)</f>
        <v>247</v>
      </c>
      <c r="CG52" s="51">
        <f>SUM(AX52:BA52)</f>
        <v>248</v>
      </c>
      <c r="CH52" s="51">
        <f>SUM(BB52:BE52)</f>
        <v>251</v>
      </c>
      <c r="CI52" s="51">
        <f>SUM(BF52:BI52)</f>
        <v>249</v>
      </c>
      <c r="CJ52" s="51">
        <f>SUM(BJ52:BM52)</f>
        <v>247.5</v>
      </c>
      <c r="CK52" s="51">
        <f>SUM(BN52:BQ52)</f>
        <v>247</v>
      </c>
    </row>
    <row r="53" spans="1:89" x14ac:dyDescent="0.15">
      <c r="A53" s="53" t="s">
        <v>156</v>
      </c>
      <c r="B53" s="88">
        <f t="shared" ref="B53:BM53" si="34">+B6/B52</f>
        <v>0.53548387096774197</v>
      </c>
      <c r="C53" s="88">
        <f t="shared" si="34"/>
        <v>0.54406779661016946</v>
      </c>
      <c r="D53" s="88">
        <f t="shared" si="34"/>
        <v>0.73030303030303034</v>
      </c>
      <c r="E53" s="47">
        <f t="shared" si="34"/>
        <v>0.76737096774193525</v>
      </c>
      <c r="F53" s="88">
        <f t="shared" si="34"/>
        <v>1.253125</v>
      </c>
      <c r="G53" s="88">
        <f t="shared" si="34"/>
        <v>0.79500000000000004</v>
      </c>
      <c r="H53" s="88">
        <f t="shared" si="34"/>
        <v>0.69090909090909092</v>
      </c>
      <c r="I53" s="47">
        <f t="shared" si="34"/>
        <v>1.3596874999999995</v>
      </c>
      <c r="J53" s="88">
        <f t="shared" si="34"/>
        <v>1.6516129032258065</v>
      </c>
      <c r="K53" s="88">
        <f t="shared" si="34"/>
        <v>1.5428571428571429</v>
      </c>
      <c r="L53" s="88">
        <f t="shared" si="34"/>
        <v>2.0378787878787881</v>
      </c>
      <c r="M53" s="47">
        <f t="shared" si="34"/>
        <v>2.1738437500000001</v>
      </c>
      <c r="N53" s="88">
        <f t="shared" si="34"/>
        <v>2.9153846153846152</v>
      </c>
      <c r="O53" s="88">
        <f t="shared" si="34"/>
        <v>3.0296875000000001</v>
      </c>
      <c r="P53" s="88">
        <f t="shared" si="34"/>
        <v>2.1338461538461537</v>
      </c>
      <c r="Q53" s="47">
        <f t="shared" si="34"/>
        <v>2.6421874999999999</v>
      </c>
      <c r="R53" s="88">
        <f t="shared" si="34"/>
        <v>3.2265625</v>
      </c>
      <c r="S53" s="88">
        <f t="shared" si="34"/>
        <v>2.7016129032258065</v>
      </c>
      <c r="T53" s="88">
        <f t="shared" si="34"/>
        <v>2.7600000000000002</v>
      </c>
      <c r="U53" s="47">
        <f t="shared" si="34"/>
        <v>2.9430769230769234</v>
      </c>
      <c r="V53" s="88">
        <f t="shared" si="34"/>
        <v>2.8640625000000002</v>
      </c>
      <c r="W53" s="88">
        <f t="shared" si="34"/>
        <v>2.483076923076923</v>
      </c>
      <c r="X53" s="88">
        <f t="shared" si="34"/>
        <v>2.2363636363636363</v>
      </c>
      <c r="Y53" s="47">
        <f t="shared" si="34"/>
        <v>2.6903225806451614</v>
      </c>
      <c r="Z53" s="88">
        <f t="shared" si="34"/>
        <v>2.6015873015873017</v>
      </c>
      <c r="AA53" s="88">
        <f t="shared" si="34"/>
        <v>3.0484374999999999</v>
      </c>
      <c r="AB53" s="88">
        <f t="shared" si="34"/>
        <v>3.5363636363636366</v>
      </c>
      <c r="AC53" s="47">
        <f t="shared" si="34"/>
        <v>3.5692307692307694</v>
      </c>
      <c r="AD53" s="88">
        <f t="shared" si="34"/>
        <v>3.6873015873015875</v>
      </c>
      <c r="AE53" s="88">
        <f t="shared" si="34"/>
        <v>3.7483870967741937</v>
      </c>
      <c r="AF53" s="88">
        <f t="shared" si="34"/>
        <v>2.643939393939394</v>
      </c>
      <c r="AG53" s="47">
        <f t="shared" si="34"/>
        <v>2.8781249999999998</v>
      </c>
      <c r="AH53" s="88">
        <f t="shared" si="34"/>
        <v>3.0857142857142859</v>
      </c>
      <c r="AI53" s="88">
        <f t="shared" si="34"/>
        <v>2.4593220338983048</v>
      </c>
      <c r="AJ53" s="88">
        <f t="shared" si="34"/>
        <v>2.7909090909090906</v>
      </c>
      <c r="AK53" s="47">
        <f t="shared" si="34"/>
        <v>2.4046875000000001</v>
      </c>
      <c r="AL53" s="88">
        <f t="shared" si="34"/>
        <v>2.4406249999999998</v>
      </c>
      <c r="AM53" s="88">
        <f t="shared" si="34"/>
        <v>2.159322033898305</v>
      </c>
      <c r="AN53" s="88">
        <f t="shared" si="34"/>
        <v>1.8446153846153848</v>
      </c>
      <c r="AO53" s="47">
        <f t="shared" si="34"/>
        <v>1.9852459016393442</v>
      </c>
      <c r="AP53" s="88">
        <f t="shared" si="34"/>
        <v>2.3606299212598425</v>
      </c>
      <c r="AQ53" s="88">
        <f t="shared" si="34"/>
        <v>2.3271186440677969</v>
      </c>
      <c r="AR53" s="88">
        <f t="shared" si="34"/>
        <v>2.2443333333333335</v>
      </c>
      <c r="AS53" s="47">
        <f t="shared" si="34"/>
        <v>2.6193548387096777</v>
      </c>
      <c r="AT53" s="88">
        <f t="shared" si="34"/>
        <v>2.9256774193548387</v>
      </c>
      <c r="AU53" s="88">
        <f t="shared" si="34"/>
        <v>2.6998620689655173</v>
      </c>
      <c r="AV53" s="88">
        <f t="shared" si="34"/>
        <v>2.4257575757575758</v>
      </c>
      <c r="AW53" s="47">
        <f t="shared" si="34"/>
        <v>3.1836065573770491</v>
      </c>
      <c r="AX53" s="88">
        <f t="shared" si="34"/>
        <v>3.8441290322580648</v>
      </c>
      <c r="AY53" s="83">
        <f t="shared" si="34"/>
        <v>3.7437586206896554</v>
      </c>
      <c r="AZ53" s="83">
        <f t="shared" si="34"/>
        <v>3.1771060606060604</v>
      </c>
      <c r="BA53" s="54">
        <f t="shared" si="34"/>
        <v>3.6562258064516131</v>
      </c>
      <c r="BB53" s="83">
        <f t="shared" si="34"/>
        <v>3.6208</v>
      </c>
      <c r="BC53" s="83">
        <f t="shared" si="34"/>
        <v>3.1513225806451612</v>
      </c>
      <c r="BD53" s="83">
        <f t="shared" si="34"/>
        <v>3.0145</v>
      </c>
      <c r="BE53" s="54">
        <f t="shared" si="34"/>
        <v>3.5297301587301586</v>
      </c>
      <c r="BF53" s="83">
        <f t="shared" si="34"/>
        <v>3.6720000000000002</v>
      </c>
      <c r="BG53" s="83">
        <f t="shared" si="34"/>
        <v>3.5901379310344828</v>
      </c>
      <c r="BH53" s="83">
        <f t="shared" si="34"/>
        <v>3.3757187499999999</v>
      </c>
      <c r="BI53" s="54">
        <f t="shared" si="34"/>
        <v>3.9020634920634922</v>
      </c>
      <c r="BJ53" s="83">
        <f t="shared" si="34"/>
        <v>4.0032258064516126</v>
      </c>
      <c r="BK53" s="83">
        <f t="shared" si="34"/>
        <v>3.8585593220338983</v>
      </c>
      <c r="BL53" s="83">
        <f t="shared" si="34"/>
        <v>3.7361230769230773</v>
      </c>
      <c r="BM53" s="54">
        <f t="shared" si="34"/>
        <v>4.3120650406504062</v>
      </c>
      <c r="BN53" s="83">
        <f t="shared" ref="BN53:BS53" si="35">+BN6/BN52</f>
        <v>4.0149682539682541</v>
      </c>
      <c r="BO53" s="83">
        <f t="shared" si="35"/>
        <v>4.5347610619469023</v>
      </c>
      <c r="BP53" s="83">
        <f t="shared" si="35"/>
        <v>4.0350757575757576</v>
      </c>
      <c r="BQ53" s="54">
        <f t="shared" si="35"/>
        <v>4.7911707317073171</v>
      </c>
      <c r="BR53" s="83">
        <f t="shared" si="35"/>
        <v>8.185539682539682</v>
      </c>
      <c r="BS53" s="54">
        <f t="shared" si="35"/>
        <v>8.5135042735042745</v>
      </c>
      <c r="BT53" s="88"/>
      <c r="BU53" s="113">
        <f t="shared" ref="BU53:CF53" si="36">+BU6/BU52</f>
        <v>0.64689558232931721</v>
      </c>
      <c r="BV53" s="113">
        <f t="shared" si="36"/>
        <v>1.0256692913385825</v>
      </c>
      <c r="BW53" s="113">
        <f t="shared" si="36"/>
        <v>1.8557882352941177</v>
      </c>
      <c r="BX53" s="113">
        <f t="shared" si="36"/>
        <v>2.67906976744186</v>
      </c>
      <c r="BY53" s="113">
        <f t="shared" si="36"/>
        <v>2.9089843750000002</v>
      </c>
      <c r="BZ53" s="113">
        <f t="shared" si="36"/>
        <v>2.5645914396887166</v>
      </c>
      <c r="CA53" s="113">
        <f t="shared" si="36"/>
        <v>3.1953488372093024</v>
      </c>
      <c r="CB53" s="113">
        <f t="shared" si="36"/>
        <v>3.2290196078431377</v>
      </c>
      <c r="CC53" s="47">
        <f t="shared" si="36"/>
        <v>2.6888888888888891</v>
      </c>
      <c r="CD53" s="47">
        <f t="shared" si="36"/>
        <v>2.1068273092369481</v>
      </c>
      <c r="CE53" s="47">
        <f t="shared" si="36"/>
        <v>2.3861317365269463</v>
      </c>
      <c r="CF53" s="47">
        <f t="shared" si="36"/>
        <v>2.8027692307692313</v>
      </c>
      <c r="CG53" s="47">
        <f>+CG6/CG52</f>
        <v>3.5961653225806454</v>
      </c>
      <c r="CH53" s="54">
        <f>+CH6/CH52</f>
        <v>3.3225498007968128</v>
      </c>
      <c r="CI53" s="54">
        <f>+CI6/CI52</f>
        <v>3.6349879518072288</v>
      </c>
      <c r="CJ53" s="54">
        <f>+CJ6/CJ52</f>
        <v>3.9753333333333334</v>
      </c>
      <c r="CK53" s="54">
        <f>+CK6/CK52</f>
        <v>4.3325060728744935</v>
      </c>
    </row>
    <row r="54" spans="1:89" x14ac:dyDescent="0.15">
      <c r="A54" s="53" t="s">
        <v>157</v>
      </c>
      <c r="B54" s="88"/>
      <c r="C54" s="88"/>
      <c r="D54" s="88"/>
      <c r="E54" s="47"/>
      <c r="F54" s="88"/>
      <c r="G54" s="88"/>
      <c r="H54" s="88"/>
      <c r="I54" s="47"/>
      <c r="J54" s="88"/>
      <c r="K54" s="88"/>
      <c r="L54" s="88"/>
      <c r="M54" s="47"/>
      <c r="N54" s="88"/>
      <c r="O54" s="88"/>
      <c r="P54" s="88"/>
      <c r="Q54" s="47"/>
      <c r="R54" s="88"/>
      <c r="S54" s="88"/>
      <c r="T54" s="88"/>
      <c r="U54" s="47"/>
      <c r="V54" s="88"/>
      <c r="W54" s="88"/>
      <c r="X54" s="88"/>
      <c r="Y54" s="47"/>
      <c r="Z54" s="88"/>
      <c r="AA54" s="88"/>
      <c r="AB54" s="88"/>
      <c r="AC54" s="47"/>
      <c r="AD54" s="88"/>
      <c r="AE54" s="88"/>
      <c r="AF54" s="88"/>
      <c r="AG54" s="47"/>
      <c r="AH54" s="45">
        <f t="shared" ref="AH54:BS54" si="37">+AH51/AH52</f>
        <v>3438.3333333333335</v>
      </c>
      <c r="AI54" s="45">
        <f t="shared" si="37"/>
        <v>2533.0847457627119</v>
      </c>
      <c r="AJ54" s="45">
        <f t="shared" si="37"/>
        <v>2684.378787878788</v>
      </c>
      <c r="AK54" s="46">
        <f t="shared" si="37"/>
        <v>2404.96875</v>
      </c>
      <c r="AL54" s="45">
        <f t="shared" si="37"/>
        <v>2573.4375</v>
      </c>
      <c r="AM54" s="45">
        <f t="shared" si="37"/>
        <v>2046.2542372881355</v>
      </c>
      <c r="AN54" s="45">
        <f t="shared" si="37"/>
        <v>1638.8615384615384</v>
      </c>
      <c r="AO54" s="46">
        <f t="shared" si="37"/>
        <v>1744.2131147540983</v>
      </c>
      <c r="AP54" s="45">
        <f t="shared" si="37"/>
        <v>2090.3307086614172</v>
      </c>
      <c r="AQ54" s="45">
        <f t="shared" si="37"/>
        <v>1946.1694915254238</v>
      </c>
      <c r="AR54" s="45">
        <f t="shared" si="37"/>
        <v>1868.9545454545455</v>
      </c>
      <c r="AS54" s="46">
        <f t="shared" si="37"/>
        <v>2240.4516129032259</v>
      </c>
      <c r="AT54" s="45">
        <f t="shared" si="37"/>
        <v>2641.1129032258063</v>
      </c>
      <c r="AU54" s="45">
        <f t="shared" si="37"/>
        <v>2234.844827586207</v>
      </c>
      <c r="AV54" s="45">
        <f t="shared" si="37"/>
        <v>1829.4545454545455</v>
      </c>
      <c r="AW54" s="46">
        <f t="shared" si="37"/>
        <v>2547.2786885245901</v>
      </c>
      <c r="AX54" s="45">
        <f t="shared" si="37"/>
        <v>3210.0967741935483</v>
      </c>
      <c r="AY54" s="44">
        <f t="shared" si="37"/>
        <v>3050.5517241379312</v>
      </c>
      <c r="AZ54" s="44">
        <f t="shared" si="37"/>
        <v>2784.878787878788</v>
      </c>
      <c r="BA54" s="48">
        <f t="shared" si="37"/>
        <v>3412.8548387096776</v>
      </c>
      <c r="BB54" s="44">
        <f t="shared" si="37"/>
        <v>3305.0833333333335</v>
      </c>
      <c r="BC54" s="44">
        <f t="shared" si="37"/>
        <v>2974.983870967742</v>
      </c>
      <c r="BD54" s="44">
        <f t="shared" si="37"/>
        <v>2823.2272727272725</v>
      </c>
      <c r="BE54" s="48">
        <f t="shared" si="37"/>
        <v>3096.7619047619046</v>
      </c>
      <c r="BF54" s="44">
        <f t="shared" si="37"/>
        <v>3265.0428906249999</v>
      </c>
      <c r="BG54" s="44">
        <f t="shared" si="37"/>
        <v>3058.344827586207</v>
      </c>
      <c r="BH54" s="44">
        <f t="shared" si="37"/>
        <v>2788.0617763640362</v>
      </c>
      <c r="BI54" s="48">
        <f t="shared" si="37"/>
        <v>3194.7638095238094</v>
      </c>
      <c r="BJ54" s="44">
        <f t="shared" si="37"/>
        <v>3314.6092848225808</v>
      </c>
      <c r="BK54" s="44">
        <f t="shared" si="37"/>
        <v>3117.5741148813559</v>
      </c>
      <c r="BL54" s="44">
        <f t="shared" si="37"/>
        <v>2815.4019651614772</v>
      </c>
      <c r="BM54" s="48">
        <f t="shared" si="37"/>
        <v>3291.7879873946863</v>
      </c>
      <c r="BN54" s="44">
        <f t="shared" si="37"/>
        <v>3173.5206716031748</v>
      </c>
      <c r="BO54" s="44">
        <f t="shared" si="37"/>
        <v>3285.4837557472674</v>
      </c>
      <c r="BP54" s="44">
        <f t="shared" si="37"/>
        <v>2920.9669070151513</v>
      </c>
      <c r="BQ54" s="48">
        <f t="shared" si="37"/>
        <v>3442.3655698340658</v>
      </c>
      <c r="BR54" s="44">
        <f t="shared" si="37"/>
        <v>6519.6181323522378</v>
      </c>
      <c r="BS54" s="48">
        <f t="shared" si="37"/>
        <v>6353.1505982905983</v>
      </c>
      <c r="BT54" s="88"/>
      <c r="BU54" s="113"/>
      <c r="BV54" s="113"/>
      <c r="BW54" s="113"/>
      <c r="BX54" s="113"/>
      <c r="BY54" s="113"/>
      <c r="BZ54" s="113"/>
      <c r="CA54" s="113"/>
      <c r="CB54" s="128"/>
      <c r="CC54" s="46">
        <f t="shared" ref="CC54:CH54" si="38">+CC51/CC52</f>
        <v>2766.4841269841268</v>
      </c>
      <c r="CD54" s="46">
        <f t="shared" si="38"/>
        <v>2001.4136546184739</v>
      </c>
      <c r="CE54" s="46">
        <f t="shared" si="38"/>
        <v>2035.2055888223554</v>
      </c>
      <c r="CF54" s="46">
        <f t="shared" si="38"/>
        <v>2305.65991902834</v>
      </c>
      <c r="CG54" s="46">
        <f t="shared" si="38"/>
        <v>3110.3104838709678</v>
      </c>
      <c r="CH54" s="48">
        <f t="shared" si="38"/>
        <v>3044.5537848605577</v>
      </c>
      <c r="CI54" s="48">
        <f>+CI51/CI52</f>
        <v>3076.5173441256961</v>
      </c>
      <c r="CJ54" s="48">
        <f>+CJ51/CJ52</f>
        <v>3130.863585443512</v>
      </c>
      <c r="CK54" s="48">
        <f>+CK51/CK52</f>
        <v>3198.5867729494562</v>
      </c>
    </row>
    <row r="55" spans="1:89" x14ac:dyDescent="0.15">
      <c r="A55" s="53"/>
      <c r="B55" s="45"/>
      <c r="C55" s="53"/>
      <c r="D55" s="45"/>
      <c r="E55" s="74"/>
      <c r="F55" s="45"/>
      <c r="G55" s="53"/>
      <c r="H55" s="45"/>
      <c r="I55" s="74"/>
      <c r="J55" s="45"/>
      <c r="K55" s="53"/>
      <c r="L55" s="45"/>
      <c r="M55" s="74"/>
      <c r="N55" s="45"/>
      <c r="O55" s="53"/>
      <c r="P55" s="45"/>
      <c r="Q55" s="74"/>
      <c r="R55" s="45"/>
      <c r="S55" s="53"/>
      <c r="T55" s="45"/>
      <c r="U55" s="74"/>
      <c r="V55" s="53"/>
      <c r="W55" s="53"/>
      <c r="X55" s="53"/>
      <c r="Y55" s="74"/>
      <c r="Z55" s="53"/>
      <c r="AA55" s="53"/>
      <c r="AB55" s="53"/>
      <c r="AC55" s="74"/>
      <c r="AD55" s="53"/>
      <c r="AE55" s="53"/>
      <c r="AF55" s="53"/>
      <c r="AG55" s="74"/>
      <c r="AH55" s="53"/>
      <c r="AI55" s="53"/>
      <c r="AJ55" s="53"/>
      <c r="AK55" s="74"/>
      <c r="AL55" s="53"/>
      <c r="AM55" s="53"/>
      <c r="AN55" s="53"/>
      <c r="AO55" s="74"/>
      <c r="AP55" s="53"/>
      <c r="AR55" s="53"/>
      <c r="AS55" s="74"/>
      <c r="AT55" s="53"/>
      <c r="AV55" s="53"/>
      <c r="AW55" s="74"/>
      <c r="AY55" s="35"/>
      <c r="AZ55" s="35"/>
      <c r="BA55" s="36"/>
      <c r="BB55" s="35"/>
      <c r="BE55" s="36"/>
      <c r="BG55" s="75"/>
      <c r="BI55" s="36"/>
      <c r="BK55" s="75"/>
      <c r="BM55" s="36"/>
      <c r="BO55" s="75"/>
      <c r="BQ55" s="36"/>
      <c r="BS55" s="36"/>
      <c r="BT55" s="53"/>
      <c r="BU55" s="124"/>
      <c r="BV55" s="124"/>
      <c r="BW55" s="37"/>
      <c r="BX55" s="124"/>
      <c r="BY55" s="37"/>
      <c r="BZ55" s="124"/>
      <c r="CA55" s="37"/>
      <c r="CB55" s="124"/>
      <c r="CC55" s="34"/>
      <c r="CD55" s="74"/>
      <c r="CE55" s="34"/>
      <c r="CF55" s="34"/>
      <c r="CG55" s="34"/>
      <c r="CH55" s="36"/>
      <c r="CI55" s="36"/>
      <c r="CJ55" s="36"/>
      <c r="CK55" s="36"/>
    </row>
    <row r="56" spans="1:89" x14ac:dyDescent="0.15">
      <c r="A56" s="38" t="s">
        <v>158</v>
      </c>
      <c r="B56" s="123"/>
      <c r="C56" s="38"/>
      <c r="D56" s="123"/>
      <c r="E56" s="39"/>
      <c r="F56" s="123"/>
      <c r="G56" s="38"/>
      <c r="H56" s="123"/>
      <c r="I56" s="39"/>
      <c r="J56" s="123"/>
      <c r="K56" s="38"/>
      <c r="L56" s="123"/>
      <c r="M56" s="39"/>
      <c r="N56" s="123"/>
      <c r="O56" s="38"/>
      <c r="P56" s="123"/>
      <c r="Q56" s="39"/>
      <c r="R56" s="123"/>
      <c r="S56" s="38"/>
      <c r="T56" s="123"/>
      <c r="U56" s="39"/>
      <c r="V56" s="38"/>
      <c r="W56" s="38"/>
      <c r="X56" s="38"/>
      <c r="Y56" s="39"/>
      <c r="Z56" s="38"/>
      <c r="AA56" s="38"/>
      <c r="AB56" s="38"/>
      <c r="AC56" s="39"/>
      <c r="AD56" s="38"/>
      <c r="AE56" s="38"/>
      <c r="AF56" s="38"/>
      <c r="AG56" s="39"/>
      <c r="AH56" s="38"/>
      <c r="AI56" s="38"/>
      <c r="AJ56" s="38"/>
      <c r="AK56" s="39"/>
      <c r="AL56" s="38"/>
      <c r="AM56" s="38"/>
      <c r="AN56" s="38"/>
      <c r="AO56" s="39"/>
      <c r="AP56" s="38"/>
      <c r="AR56" s="38"/>
      <c r="AS56" s="39"/>
      <c r="AT56" s="38"/>
      <c r="AV56" s="38"/>
      <c r="AW56" s="39"/>
      <c r="AY56" s="35"/>
      <c r="AZ56" s="35"/>
      <c r="BA56" s="36"/>
      <c r="BB56" s="35"/>
      <c r="BE56" s="36"/>
      <c r="BG56" s="75"/>
      <c r="BI56" s="36"/>
      <c r="BK56" s="75"/>
      <c r="BM56" s="36"/>
      <c r="BO56" s="75"/>
      <c r="BQ56" s="36"/>
      <c r="BS56" s="36"/>
      <c r="BT56" s="38"/>
      <c r="BU56" s="40"/>
      <c r="BV56" s="40"/>
      <c r="BW56" s="37"/>
      <c r="BX56" s="40"/>
      <c r="BY56" s="37"/>
      <c r="BZ56" s="40"/>
      <c r="CA56" s="37"/>
      <c r="CB56" s="40"/>
      <c r="CC56" s="34"/>
      <c r="CD56" s="39"/>
      <c r="CE56" s="34"/>
      <c r="CF56" s="34"/>
      <c r="CG56" s="34"/>
      <c r="CH56" s="36"/>
      <c r="CI56" s="36"/>
      <c r="CJ56" s="36"/>
      <c r="CK56" s="36"/>
    </row>
    <row r="57" spans="1:89" x14ac:dyDescent="0.15">
      <c r="A57" s="53" t="s">
        <v>159</v>
      </c>
      <c r="B57" s="136">
        <f>B8/((B34+6600)/2)</f>
        <v>4.0634920634920633E-3</v>
      </c>
      <c r="C57" s="136">
        <f t="shared" ref="C57:BN57" si="39">C8/((C34+B34)/2)</f>
        <v>3.3857142857142862E-3</v>
      </c>
      <c r="D57" s="136">
        <f t="shared" si="39"/>
        <v>4.3647058823529416E-3</v>
      </c>
      <c r="E57" s="137">
        <f t="shared" si="39"/>
        <v>3.5153999999999984E-3</v>
      </c>
      <c r="F57" s="136">
        <f t="shared" si="39"/>
        <v>4.7520000000000001E-3</v>
      </c>
      <c r="G57" s="136">
        <f t="shared" si="39"/>
        <v>2.4482758620689654E-3</v>
      </c>
      <c r="H57" s="136">
        <f t="shared" si="39"/>
        <v>2.0064516129032258E-3</v>
      </c>
      <c r="I57" s="137">
        <f t="shared" si="39"/>
        <v>2.7117297297297284E-3</v>
      </c>
      <c r="J57" s="136">
        <f t="shared" si="39"/>
        <v>2.5733333333333337E-3</v>
      </c>
      <c r="K57" s="136">
        <f t="shared" si="39"/>
        <v>2.1803921568627452E-3</v>
      </c>
      <c r="L57" s="136">
        <f t="shared" si="39"/>
        <v>2.6813559322033899E-3</v>
      </c>
      <c r="M57" s="137">
        <f t="shared" si="39"/>
        <v>2.5168529411764709E-3</v>
      </c>
      <c r="N57" s="136">
        <f t="shared" si="39"/>
        <v>3.0050632911392404E-3</v>
      </c>
      <c r="O57" s="136">
        <f t="shared" si="39"/>
        <v>2.7505882352941179E-3</v>
      </c>
      <c r="P57" s="136">
        <f t="shared" si="39"/>
        <v>1.8930232558139533E-3</v>
      </c>
      <c r="Q57" s="137">
        <f t="shared" si="39"/>
        <v>2.2451612903225805E-3</v>
      </c>
      <c r="R57" s="136">
        <f t="shared" si="39"/>
        <v>2.4737864077669903E-3</v>
      </c>
      <c r="S57" s="136">
        <f t="shared" si="39"/>
        <v>1.8162162162162162E-3</v>
      </c>
      <c r="T57" s="136">
        <f t="shared" si="39"/>
        <v>2.0034782608695655E-3</v>
      </c>
      <c r="U57" s="137">
        <f t="shared" si="39"/>
        <v>2.0796460176991153E-3</v>
      </c>
      <c r="V57" s="136">
        <f t="shared" si="39"/>
        <v>2.1345794392523369E-3</v>
      </c>
      <c r="W57" s="136">
        <f t="shared" si="39"/>
        <v>1.819047619047619E-3</v>
      </c>
      <c r="X57" s="136">
        <f t="shared" si="39"/>
        <v>1.8938775510204081E-3</v>
      </c>
      <c r="Y57" s="137">
        <f t="shared" si="39"/>
        <v>2.5238095238095241E-3</v>
      </c>
      <c r="Z57" s="136">
        <f t="shared" si="39"/>
        <v>2.4195121951219511E-3</v>
      </c>
      <c r="AA57" s="136">
        <f t="shared" si="39"/>
        <v>2.7175257731958764E-3</v>
      </c>
      <c r="AB57" s="136">
        <f t="shared" si="39"/>
        <v>2.3402777777777779E-3</v>
      </c>
      <c r="AC57" s="137">
        <f t="shared" si="39"/>
        <v>1.8399999999999998E-3</v>
      </c>
      <c r="AD57" s="136">
        <f t="shared" si="39"/>
        <v>1.7666666666666668E-3</v>
      </c>
      <c r="AE57" s="136">
        <f t="shared" si="39"/>
        <v>1.7080213903743315E-3</v>
      </c>
      <c r="AF57" s="136">
        <f t="shared" si="39"/>
        <v>1.1775401069518715E-3</v>
      </c>
      <c r="AG57" s="137">
        <f t="shared" si="39"/>
        <v>1.2434343434343433E-3</v>
      </c>
      <c r="AH57" s="136">
        <f t="shared" si="39"/>
        <v>1.2771153846153846E-3</v>
      </c>
      <c r="AI57" s="136">
        <f t="shared" si="39"/>
        <v>8.8516746411483258E-4</v>
      </c>
      <c r="AJ57" s="136">
        <f t="shared" si="39"/>
        <v>1.3505263157894735E-3</v>
      </c>
      <c r="AK57" s="137">
        <f t="shared" si="39"/>
        <v>1.2045197740112995E-3</v>
      </c>
      <c r="AL57" s="136">
        <f t="shared" si="39"/>
        <v>1.1214659685863874E-3</v>
      </c>
      <c r="AM57" s="136">
        <f t="shared" si="39"/>
        <v>8.1827411167512696E-4</v>
      </c>
      <c r="AN57" s="136">
        <f t="shared" si="39"/>
        <v>8.0714285714285718E-4</v>
      </c>
      <c r="AO57" s="137">
        <f t="shared" si="39"/>
        <v>7.5882352941176459E-4</v>
      </c>
      <c r="AP57" s="136">
        <f t="shared" si="39"/>
        <v>9.3796296296296303E-4</v>
      </c>
      <c r="AQ57" s="136">
        <f t="shared" si="39"/>
        <v>8.0264317180616751E-4</v>
      </c>
      <c r="AR57" s="136">
        <f t="shared" si="39"/>
        <v>8.2974380165289259E-4</v>
      </c>
      <c r="AS57" s="137">
        <f t="shared" si="39"/>
        <v>8.4106463878327008E-4</v>
      </c>
      <c r="AT57" s="136">
        <f t="shared" si="39"/>
        <v>9.0432028469750886E-4</v>
      </c>
      <c r="AU57" s="136">
        <f t="shared" si="39"/>
        <v>7.1753333333333339E-4</v>
      </c>
      <c r="AV57" s="136">
        <f t="shared" si="39"/>
        <v>6.9714285714285711E-4</v>
      </c>
      <c r="AW57" s="137">
        <f t="shared" si="39"/>
        <v>8.2024539877300609E-4</v>
      </c>
      <c r="AX57" s="136">
        <f t="shared" si="39"/>
        <v>9.3037883008356551E-4</v>
      </c>
      <c r="AY57" s="136">
        <f t="shared" si="39"/>
        <v>7.5538541666666657E-4</v>
      </c>
      <c r="AZ57" s="136">
        <f t="shared" si="39"/>
        <v>7.8666489361702127E-4</v>
      </c>
      <c r="BA57" s="137">
        <f t="shared" si="39"/>
        <v>8.5570389610389614E-4</v>
      </c>
      <c r="BB57" s="136">
        <f t="shared" si="39"/>
        <v>7.6984886649874055E-4</v>
      </c>
      <c r="BC57" s="136">
        <f t="shared" si="39"/>
        <v>6.8732338308457718E-4</v>
      </c>
      <c r="BD57" s="136">
        <f t="shared" si="39"/>
        <v>6.6188837209302318E-4</v>
      </c>
      <c r="BE57" s="137">
        <f t="shared" si="39"/>
        <v>6.8074782608695654E-4</v>
      </c>
      <c r="BF57" s="136">
        <f t="shared" si="39"/>
        <v>6.8416059912627426E-4</v>
      </c>
      <c r="BG57" s="136">
        <f t="shared" si="39"/>
        <v>5.8448357736446386E-4</v>
      </c>
      <c r="BH57" s="136">
        <f t="shared" si="39"/>
        <v>5.7379174192171442E-4</v>
      </c>
      <c r="BI57" s="137">
        <f t="shared" si="39"/>
        <v>6.5619616664140147E-4</v>
      </c>
      <c r="BJ57" s="136">
        <f t="shared" si="39"/>
        <v>6.4595782701929946E-4</v>
      </c>
      <c r="BK57" s="136">
        <f t="shared" si="39"/>
        <v>5.3858457420110425E-4</v>
      </c>
      <c r="BL57" s="136">
        <f t="shared" si="39"/>
        <v>5.2394073139974782E-4</v>
      </c>
      <c r="BM57" s="137">
        <f t="shared" si="39"/>
        <v>6.1721365277321951E-4</v>
      </c>
      <c r="BN57" s="136">
        <f t="shared" si="39"/>
        <v>5.7236124794745485E-4</v>
      </c>
      <c r="BO57" s="136">
        <f>BO8/((BO34+BN34)/2)</f>
        <v>5.270053160070881E-4</v>
      </c>
      <c r="BP57" s="136">
        <f>BP8/((BP34+BO34)/2)</f>
        <v>5.1715120322715254E-4</v>
      </c>
      <c r="BQ57" s="137">
        <f>BQ8/((BQ34+BP34)/2)</f>
        <v>5.9054626826378831E-4</v>
      </c>
      <c r="BR57" s="136">
        <f>BR8/((BR34+BQ34)/2)</f>
        <v>1.0171684013877767E-3</v>
      </c>
      <c r="BS57" s="137">
        <f>BS8/((BS34+BR34)/2)</f>
        <v>9.2073123797305971E-4</v>
      </c>
      <c r="BT57" s="136"/>
      <c r="BU57" s="138">
        <f>BU8/((BU34+6600)/2)</f>
        <v>1.3812954545454545E-2</v>
      </c>
      <c r="BV57" s="138">
        <f>BV8/AVERAGE(E34:I34)</f>
        <v>1.1439415584415583E-2</v>
      </c>
      <c r="BW57" s="138">
        <f>BW8/AVERAGE(I34:M34)</f>
        <v>9.9347500000000009E-3</v>
      </c>
      <c r="BX57" s="138">
        <f>BX8/AVERAGE(M34:Q34)</f>
        <v>9.8457943925233625E-3</v>
      </c>
      <c r="BY57" s="138">
        <f>BY8/AVERAGE(Q34:U34)</f>
        <v>8.4413919413919413E-3</v>
      </c>
      <c r="BZ57" s="138">
        <f>BZ8/AVERAGE(U34:Y34)</f>
        <v>8.3709016393442651E-3</v>
      </c>
      <c r="CA57" s="138">
        <f>CA8/AVERAGE(Y34:AC34)</f>
        <v>8.9414556962025306E-3</v>
      </c>
      <c r="CB57" s="138">
        <f>CB8/AVERAGE(AC34:AG34)</f>
        <v>5.8652631578947371E-3</v>
      </c>
      <c r="CC57" s="138">
        <f>CC8/AVERAGE(AG34:AK34)</f>
        <v>4.7153688524590167E-3</v>
      </c>
      <c r="CD57" s="138">
        <f>CD8/AVERAGE(AK34:AO34)</f>
        <v>3.5050916496945014E-3</v>
      </c>
      <c r="CE57" s="138">
        <f>CE8/AVERAGE(AO34:AS34)</f>
        <v>3.3956144781144781E-3</v>
      </c>
      <c r="CF57" s="138">
        <f>CF8/AVERAGE(AS34:AW34)</f>
        <v>3.1377099737532818E-3</v>
      </c>
      <c r="CG57" s="138">
        <f>CG8/AVERAGE(AX34:BA34)</f>
        <v>3.2491703511053319E-3</v>
      </c>
      <c r="CH57" s="138">
        <f>CH8/AVERAGE(BB34:BE34)</f>
        <v>2.7370997679814386E-3</v>
      </c>
      <c r="CI57" s="138">
        <f>CI8/AVERAGE(BF34:BI34)</f>
        <v>2.4510803374676021E-3</v>
      </c>
      <c r="CJ57" s="138">
        <f>CJ8/AVERAGE(BJ34:BM34)</f>
        <v>2.3062016402949216E-3</v>
      </c>
      <c r="CK57" s="138">
        <f>CK8/AVERAGE(BN34:BQ34)</f>
        <v>2.1238416034518753E-3</v>
      </c>
    </row>
    <row r="58" spans="1:89" x14ac:dyDescent="0.15">
      <c r="A58" s="53" t="s">
        <v>160</v>
      </c>
      <c r="B58" s="136">
        <f>B9/((B34+6600)/2)</f>
        <v>1.4285714285714287E-4</v>
      </c>
      <c r="C58" s="136">
        <f t="shared" ref="C58:BN58" si="40">C9/((C34+B34)/2)</f>
        <v>1.4285714285714287E-4</v>
      </c>
      <c r="D58" s="136">
        <f t="shared" si="40"/>
        <v>1.1764705882352942E-4</v>
      </c>
      <c r="E58" s="137">
        <f t="shared" si="40"/>
        <v>1.1999999999999999E-4</v>
      </c>
      <c r="F58" s="136">
        <f t="shared" si="40"/>
        <v>1.2E-4</v>
      </c>
      <c r="G58" s="136">
        <f t="shared" si="40"/>
        <v>1.2413793103448277E-4</v>
      </c>
      <c r="H58" s="136">
        <f t="shared" si="40"/>
        <v>1.1612903225806452E-4</v>
      </c>
      <c r="I58" s="137">
        <f t="shared" si="40"/>
        <v>9.7297297297297295E-5</v>
      </c>
      <c r="J58" s="136">
        <f t="shared" si="40"/>
        <v>2.3111111111111111E-4</v>
      </c>
      <c r="K58" s="136">
        <f t="shared" si="40"/>
        <v>8.6274509803921579E-5</v>
      </c>
      <c r="L58" s="136">
        <f t="shared" si="40"/>
        <v>1.0847457627118644E-4</v>
      </c>
      <c r="M58" s="137">
        <f t="shared" si="40"/>
        <v>1.9411764705882351E-4</v>
      </c>
      <c r="N58" s="136">
        <f t="shared" si="40"/>
        <v>2.4050632911392405E-4</v>
      </c>
      <c r="O58" s="136">
        <f t="shared" si="40"/>
        <v>2.4470588235294121E-4</v>
      </c>
      <c r="P58" s="136">
        <f t="shared" si="40"/>
        <v>1.6511627906976744E-4</v>
      </c>
      <c r="Q58" s="137">
        <f t="shared" si="40"/>
        <v>2.0430107526881721E-4</v>
      </c>
      <c r="R58" s="136">
        <f t="shared" si="40"/>
        <v>2.4854368932038836E-4</v>
      </c>
      <c r="S58" s="136">
        <f t="shared" si="40"/>
        <v>2.09009009009009E-4</v>
      </c>
      <c r="T58" s="136">
        <f t="shared" si="40"/>
        <v>3.4086956521739133E-4</v>
      </c>
      <c r="U58" s="137">
        <f t="shared" si="40"/>
        <v>2.8849557522123896E-4</v>
      </c>
      <c r="V58" s="136">
        <f t="shared" si="40"/>
        <v>2.6728971962616826E-4</v>
      </c>
      <c r="W58" s="136">
        <f t="shared" si="40"/>
        <v>1.9428571428571428E-4</v>
      </c>
      <c r="X58" s="136">
        <f t="shared" si="40"/>
        <v>1.346938775510204E-4</v>
      </c>
      <c r="Y58" s="137">
        <f t="shared" si="40"/>
        <v>9.0476190476190477E-5</v>
      </c>
      <c r="Z58" s="136">
        <f t="shared" si="40"/>
        <v>1.1951219512195123E-4</v>
      </c>
      <c r="AA58" s="136">
        <f t="shared" si="40"/>
        <v>1.0927835051546391E-4</v>
      </c>
      <c r="AB58" s="136">
        <f t="shared" si="40"/>
        <v>3.277777777777778E-4</v>
      </c>
      <c r="AC58" s="137">
        <f t="shared" si="40"/>
        <v>3.0555555555555555E-4</v>
      </c>
      <c r="AD58" s="136">
        <f t="shared" si="40"/>
        <v>2.4946236559139786E-4</v>
      </c>
      <c r="AE58" s="136">
        <f t="shared" si="40"/>
        <v>9.5187165775401078E-5</v>
      </c>
      <c r="AF58" s="136">
        <f t="shared" si="40"/>
        <v>1.6684491978609625E-4</v>
      </c>
      <c r="AG58" s="137">
        <f t="shared" si="40"/>
        <v>1.6868686868686867E-4</v>
      </c>
      <c r="AH58" s="136">
        <f t="shared" si="40"/>
        <v>1.4134615384615385E-4</v>
      </c>
      <c r="AI58" s="136">
        <f t="shared" si="40"/>
        <v>1.4354066985645933E-4</v>
      </c>
      <c r="AJ58" s="136">
        <f t="shared" si="40"/>
        <v>2.0631578947368423E-4</v>
      </c>
      <c r="AK58" s="137">
        <f t="shared" si="40"/>
        <v>1.9548022598870056E-4</v>
      </c>
      <c r="AL58" s="136">
        <f t="shared" si="40"/>
        <v>1.0785340314136126E-4</v>
      </c>
      <c r="AM58" s="136">
        <f t="shared" si="40"/>
        <v>1.6954314720812183E-4</v>
      </c>
      <c r="AN58" s="136">
        <f t="shared" si="40"/>
        <v>1.6224489795918368E-4</v>
      </c>
      <c r="AO58" s="137">
        <f t="shared" si="40"/>
        <v>1.715686274509804E-4</v>
      </c>
      <c r="AP58" s="136">
        <f t="shared" si="40"/>
        <v>1.6666666666666666E-4</v>
      </c>
      <c r="AQ58" s="136">
        <f t="shared" si="40"/>
        <v>1.5859030837004406E-4</v>
      </c>
      <c r="AR58" s="136">
        <f t="shared" si="40"/>
        <v>1.5785123966942149E-4</v>
      </c>
      <c r="AS58" s="137">
        <f t="shared" si="40"/>
        <v>1.6349809885931558E-4</v>
      </c>
      <c r="AT58" s="136">
        <f t="shared" si="40"/>
        <v>1.5373665480427048E-4</v>
      </c>
      <c r="AU58" s="136">
        <f t="shared" si="40"/>
        <v>1.8533333333333333E-4</v>
      </c>
      <c r="AV58" s="136">
        <f t="shared" si="40"/>
        <v>1.8158730158730161E-4</v>
      </c>
      <c r="AW58" s="137">
        <f t="shared" si="40"/>
        <v>1.7961963190184048E-4</v>
      </c>
      <c r="AX58" s="136">
        <f t="shared" si="40"/>
        <v>1.8567688022284127E-4</v>
      </c>
      <c r="AY58" s="136">
        <f t="shared" si="40"/>
        <v>1.9378125000000002E-4</v>
      </c>
      <c r="AZ58" s="136">
        <f t="shared" si="40"/>
        <v>1.9171276595744683E-4</v>
      </c>
      <c r="BA58" s="137">
        <f t="shared" si="40"/>
        <v>1.7927272727272727E-4</v>
      </c>
      <c r="BB58" s="136">
        <f t="shared" si="40"/>
        <v>1.5648866498740554E-4</v>
      </c>
      <c r="BC58" s="136">
        <f t="shared" si="40"/>
        <v>1.4626865671641792E-4</v>
      </c>
      <c r="BD58" s="136">
        <f t="shared" si="40"/>
        <v>1.4886976744186045E-4</v>
      </c>
      <c r="BE58" s="137">
        <f t="shared" si="40"/>
        <v>1.6130434782608697E-4</v>
      </c>
      <c r="BF58" s="136">
        <f t="shared" si="40"/>
        <v>1.468483461618473E-4</v>
      </c>
      <c r="BG58" s="136">
        <f t="shared" si="40"/>
        <v>1.4861100118717849E-4</v>
      </c>
      <c r="BH58" s="136">
        <f t="shared" si="40"/>
        <v>1.6321802783135465E-4</v>
      </c>
      <c r="BI58" s="137">
        <f t="shared" si="40"/>
        <v>1.8233619340787398E-4</v>
      </c>
      <c r="BJ58" s="136">
        <f t="shared" si="40"/>
        <v>1.8738741958541815E-4</v>
      </c>
      <c r="BK58" s="136">
        <f t="shared" si="40"/>
        <v>1.960046846243935E-4</v>
      </c>
      <c r="BL58" s="136">
        <f t="shared" si="40"/>
        <v>1.7707755359394704E-4</v>
      </c>
      <c r="BM58" s="137">
        <f t="shared" si="40"/>
        <v>2.0489990154250081E-4</v>
      </c>
      <c r="BN58" s="136">
        <f t="shared" si="40"/>
        <v>1.7983908045977014E-4</v>
      </c>
      <c r="BO58" s="136">
        <f>BO9/((BO34+BN34)/2)</f>
        <v>1.7596869462492616E-4</v>
      </c>
      <c r="BP58" s="136">
        <f>BP9/((BP34+BO34)/2)</f>
        <v>1.7394908888579777E-4</v>
      </c>
      <c r="BQ58" s="137">
        <f>BQ9/((BQ34+BP34)/2)</f>
        <v>2.0599447150190865E-4</v>
      </c>
      <c r="BR58" s="136">
        <f>BR9/((BR34+BQ34)/2)</f>
        <v>1.8410461702695488E-4</v>
      </c>
      <c r="BS58" s="137">
        <f>BS9/((BS34+BR34)/2)</f>
        <v>1.7698011545862731E-4</v>
      </c>
      <c r="BT58" s="136"/>
      <c r="BU58" s="138">
        <f>BU9/((BU34+6600)/2)</f>
        <v>4.6590909090909088E-4</v>
      </c>
      <c r="BV58" s="138">
        <f>BV9/AVERAGE(E34:I34)</f>
        <v>4.4805194805194802E-4</v>
      </c>
      <c r="BW58" s="138">
        <f>BW9/AVERAGE(I34:M34)</f>
        <v>6.1428571428571435E-4</v>
      </c>
      <c r="BX58" s="138">
        <f>BX9/AVERAGE(M34:Q34)</f>
        <v>8.5280373831775704E-4</v>
      </c>
      <c r="BY58" s="138">
        <f>BY9/AVERAGE(Q34:U34)</f>
        <v>1.1043956043956043E-3</v>
      </c>
      <c r="BZ58" s="138">
        <f>BZ9/AVERAGE(U34:Y34)</f>
        <v>7.1516393442622953E-4</v>
      </c>
      <c r="CA58" s="138">
        <f>CA9/AVERAGE(Y34:AC34)</f>
        <v>9.699367088607595E-4</v>
      </c>
      <c r="CB58" s="138">
        <f>CB9/AVERAGE(AC34:AG34)</f>
        <v>6.778947368421053E-4</v>
      </c>
      <c r="CC58" s="138">
        <f>CC9/AVERAGE(AG34:AK34)</f>
        <v>6.8237704918032785E-4</v>
      </c>
      <c r="CD58" s="138">
        <f>CD9/AVERAGE(AK34:AO34)</f>
        <v>6.1507128309572299E-4</v>
      </c>
      <c r="CE58" s="138">
        <f>CE9/AVERAGE(AO34:AS34)</f>
        <v>6.4478114478114473E-4</v>
      </c>
      <c r="CF58" s="138">
        <f>CF9/AVERAGE(AS34:AW34)</f>
        <v>7.0392388451443562E-4</v>
      </c>
      <c r="CG58" s="138">
        <f>CG9/AVERAGE(AX34:BA34)</f>
        <v>7.3387256176853067E-4</v>
      </c>
      <c r="CH58" s="138">
        <f>CH9/AVERAGE(BB34:BE34)</f>
        <v>6.0125290023201852E-4</v>
      </c>
      <c r="CI58" s="138">
        <f>CI9/AVERAGE(BF34:BI34)</f>
        <v>6.3175866310257475E-4</v>
      </c>
      <c r="CJ58" s="138">
        <f>CJ9/AVERAGE(BJ34:BM34)</f>
        <v>7.6086156904978867E-4</v>
      </c>
      <c r="CK58" s="138">
        <f>CK9/AVERAGE(BN34:BQ34)</f>
        <v>7.1018720857401357E-4</v>
      </c>
    </row>
    <row r="59" spans="1:89" x14ac:dyDescent="0.15">
      <c r="A59" s="53" t="s">
        <v>161</v>
      </c>
      <c r="B59" s="136">
        <f>B13/((B34+6600)/2)</f>
        <v>1.6507936507936505E-3</v>
      </c>
      <c r="C59" s="136">
        <f t="shared" ref="C59:BN59" si="41">C13/((C34+B34)/2)</f>
        <v>1.5428571428571429E-3</v>
      </c>
      <c r="D59" s="136">
        <f t="shared" si="41"/>
        <v>1.458823529411765E-3</v>
      </c>
      <c r="E59" s="137">
        <f t="shared" si="41"/>
        <v>1.3652E-3</v>
      </c>
      <c r="F59" s="136">
        <f t="shared" si="41"/>
        <v>1.48E-3</v>
      </c>
      <c r="G59" s="136">
        <f t="shared" si="41"/>
        <v>1.4413793103448278E-3</v>
      </c>
      <c r="H59" s="136">
        <f t="shared" si="41"/>
        <v>1.3354838709677419E-3</v>
      </c>
      <c r="I59" s="137">
        <f t="shared" si="41"/>
        <v>1.3065405405405408E-3</v>
      </c>
      <c r="J59" s="136">
        <f t="shared" si="41"/>
        <v>1.1288888888888889E-3</v>
      </c>
      <c r="K59" s="136">
        <f t="shared" si="41"/>
        <v>1.0705882352941177E-3</v>
      </c>
      <c r="L59" s="136">
        <f t="shared" si="41"/>
        <v>1.1152542372881355E-3</v>
      </c>
      <c r="M59" s="137">
        <f t="shared" si="41"/>
        <v>1.1292058823529417E-3</v>
      </c>
      <c r="N59" s="136">
        <f t="shared" si="41"/>
        <v>1.0911392405063289E-3</v>
      </c>
      <c r="O59" s="136">
        <f t="shared" si="41"/>
        <v>1.2117647058823529E-3</v>
      </c>
      <c r="P59" s="136">
        <f t="shared" si="41"/>
        <v>1.1720930232558139E-3</v>
      </c>
      <c r="Q59" s="137">
        <f t="shared" si="41"/>
        <v>1.2193548387096774E-3</v>
      </c>
      <c r="R59" s="136">
        <f t="shared" si="41"/>
        <v>1.258252427184466E-3</v>
      </c>
      <c r="S59" s="136">
        <f t="shared" si="41"/>
        <v>1.2306306306306305E-3</v>
      </c>
      <c r="T59" s="136">
        <f t="shared" si="41"/>
        <v>1.1965217391304349E-3</v>
      </c>
      <c r="U59" s="137">
        <f t="shared" si="41"/>
        <v>1.2407079646017697E-3</v>
      </c>
      <c r="V59" s="136">
        <f t="shared" si="41"/>
        <v>1.2261682242990654E-3</v>
      </c>
      <c r="W59" s="136">
        <f t="shared" si="41"/>
        <v>1.3009523809523812E-3</v>
      </c>
      <c r="X59" s="136">
        <f t="shared" si="41"/>
        <v>1.3816326530612243E-3</v>
      </c>
      <c r="Y59" s="137">
        <f t="shared" si="41"/>
        <v>1.1880952380952381E-3</v>
      </c>
      <c r="Z59" s="136">
        <f t="shared" si="41"/>
        <v>1.0317073170731707E-3</v>
      </c>
      <c r="AA59" s="136">
        <f t="shared" si="41"/>
        <v>8.4329896907216488E-4</v>
      </c>
      <c r="AB59" s="136">
        <f t="shared" si="41"/>
        <v>7.6666666666666658E-4</v>
      </c>
      <c r="AC59" s="137">
        <f t="shared" si="41"/>
        <v>7.3222222222222232E-4</v>
      </c>
      <c r="AD59" s="136">
        <f t="shared" si="41"/>
        <v>7.5913979569892465E-4</v>
      </c>
      <c r="AE59" s="136">
        <f t="shared" si="41"/>
        <v>8.2816342245989306E-4</v>
      </c>
      <c r="AF59" s="136">
        <f t="shared" si="41"/>
        <v>7.0123904449197855E-4</v>
      </c>
      <c r="AG59" s="137">
        <f t="shared" si="41"/>
        <v>1.1155811819191918E-3</v>
      </c>
      <c r="AH59" s="136">
        <f t="shared" si="41"/>
        <v>1.2813221153846154E-3</v>
      </c>
      <c r="AI59" s="136">
        <f t="shared" si="41"/>
        <v>1.3292583733014354E-3</v>
      </c>
      <c r="AJ59" s="136">
        <f t="shared" si="41"/>
        <v>1.3834170887368422E-3</v>
      </c>
      <c r="AK59" s="137">
        <f t="shared" si="41"/>
        <v>1.6000847458757061E-3</v>
      </c>
      <c r="AL59" s="136">
        <f t="shared" si="41"/>
        <v>1.4264020942408378E-3</v>
      </c>
      <c r="AM59" s="136">
        <f t="shared" si="41"/>
        <v>1.3144304568527918E-3</v>
      </c>
      <c r="AN59" s="136">
        <f t="shared" si="41"/>
        <v>1.253089132244898E-3</v>
      </c>
      <c r="AO59" s="137">
        <f t="shared" si="41"/>
        <v>1.2158954901960784E-3</v>
      </c>
      <c r="AP59" s="136">
        <f t="shared" si="41"/>
        <v>1.089675925925926E-3</v>
      </c>
      <c r="AQ59" s="136">
        <f t="shared" si="41"/>
        <v>1.0434442995594713E-3</v>
      </c>
      <c r="AR59" s="136">
        <f t="shared" si="41"/>
        <v>9.745198925619835E-4</v>
      </c>
      <c r="AS59" s="137">
        <f t="shared" si="41"/>
        <v>9.3225593155893546E-4</v>
      </c>
      <c r="AT59" s="136">
        <f t="shared" si="41"/>
        <v>8.566903914590748E-4</v>
      </c>
      <c r="AU59" s="136">
        <f t="shared" si="41"/>
        <v>8.2184000000000001E-4</v>
      </c>
      <c r="AV59" s="136">
        <f t="shared" si="41"/>
        <v>7.6634920634920632E-4</v>
      </c>
      <c r="AW59" s="137">
        <f t="shared" si="41"/>
        <v>7.0093251533742326E-4</v>
      </c>
      <c r="AX59" s="136">
        <f t="shared" si="41"/>
        <v>6.0431655710306413E-4</v>
      </c>
      <c r="AY59" s="136">
        <f t="shared" si="41"/>
        <v>5.3959492708333329E-4</v>
      </c>
      <c r="AZ59" s="136">
        <f t="shared" si="41"/>
        <v>5.2020474659574467E-4</v>
      </c>
      <c r="BA59" s="137">
        <f t="shared" si="41"/>
        <v>5.0231943376623375E-4</v>
      </c>
      <c r="BB59" s="136">
        <f t="shared" si="41"/>
        <v>4.9685295541561716E-4</v>
      </c>
      <c r="BC59" s="136">
        <f t="shared" si="41"/>
        <v>4.9877954228855724E-4</v>
      </c>
      <c r="BD59" s="136">
        <f t="shared" si="41"/>
        <v>4.7053023255813945E-4</v>
      </c>
      <c r="BE59" s="137">
        <f t="shared" si="41"/>
        <v>4.4839130434782604E-4</v>
      </c>
      <c r="BF59" s="136">
        <f t="shared" si="41"/>
        <v>4.1678385687539003E-4</v>
      </c>
      <c r="BG59" s="136">
        <f t="shared" si="41"/>
        <v>3.8102097348634739E-4</v>
      </c>
      <c r="BH59" s="136">
        <f t="shared" si="41"/>
        <v>3.6358607375909535E-4</v>
      </c>
      <c r="BI59" s="137">
        <f t="shared" si="41"/>
        <v>3.481532863564503E-4</v>
      </c>
      <c r="BJ59" s="136">
        <f t="shared" si="41"/>
        <v>3.406218727662616E-4</v>
      </c>
      <c r="BK59" s="136">
        <f t="shared" si="41"/>
        <v>3.2073950142211808E-4</v>
      </c>
      <c r="BL59" s="136">
        <f t="shared" si="41"/>
        <v>2.8821878940731401E-4</v>
      </c>
      <c r="BM59" s="137">
        <f t="shared" si="41"/>
        <v>3.1171972431900231E-4</v>
      </c>
      <c r="BN59" s="136">
        <f t="shared" si="41"/>
        <v>3.411658456486043E-4</v>
      </c>
      <c r="BO59" s="136">
        <f>BO13/((BO34+BN34)/2)</f>
        <v>3.9261961015948021E-4</v>
      </c>
      <c r="BP59" s="136">
        <f>BP13/((BP34+BO34)/2)</f>
        <v>3.5828627069133396E-4</v>
      </c>
      <c r="BQ59" s="137">
        <f>BQ13/((BQ34+BP34)/2)</f>
        <v>3.4782414110833221E-4</v>
      </c>
      <c r="BR59" s="136">
        <f>BR13/((BR34+BQ34)/2)</f>
        <v>3.9220976781425139E-4</v>
      </c>
      <c r="BS59" s="137">
        <f>BS13/((BS34+BR34)/2)</f>
        <v>4.0096215522771001E-4</v>
      </c>
      <c r="BT59" s="136"/>
      <c r="BU59" s="138">
        <f>BU13/((BU34+6600)/2)</f>
        <v>5.369545454545455E-3</v>
      </c>
      <c r="BV59" s="138">
        <f>BV13/AVERAGE(E34:I34)</f>
        <v>5.4721428571428577E-3</v>
      </c>
      <c r="BW59" s="138">
        <f>BW13/AVERAGE(I34:M34)</f>
        <v>4.428321428571429E-3</v>
      </c>
      <c r="BX59" s="138">
        <f>BX13/AVERAGE(M34:Q34)</f>
        <v>4.7126168224299056E-3</v>
      </c>
      <c r="BY59" s="138">
        <f>BY13/AVERAGE(Q34:U34)</f>
        <v>4.9816849816849817E-3</v>
      </c>
      <c r="BZ59" s="138">
        <f>BZ13/AVERAGE(U34:Y34)</f>
        <v>5.1536885245901647E-3</v>
      </c>
      <c r="CA59" s="138">
        <f>CA13/AVERAGE(Y34:AC34)</f>
        <v>3.2325949367088603E-3</v>
      </c>
      <c r="CB59" s="138">
        <f>CB13/AVERAGE(AC34:AG34)</f>
        <v>3.4109649333684201E-3</v>
      </c>
      <c r="CC59" s="138">
        <f>CC13/AVERAGE(AG34:AK34)</f>
        <v>5.5860361009221317E-3</v>
      </c>
      <c r="CD59" s="138">
        <f>CD13/AVERAGE(AK34:AO34)</f>
        <v>5.219112779633401E-3</v>
      </c>
      <c r="CE59" s="138">
        <f>CE13/AVERAGE(AO34:AS34)</f>
        <v>4.011990656565656E-3</v>
      </c>
      <c r="CF59" s="138">
        <f>CF13/AVERAGE(AS34:AW34)</f>
        <v>3.1403740157480314E-3</v>
      </c>
      <c r="CG59" s="138">
        <f>CG13/AVERAGE(AX34:BA34)</f>
        <v>2.1148090057737322E-3</v>
      </c>
      <c r="CH59" s="138">
        <f>CH13/AVERAGE(BB34:BE34)</f>
        <v>1.870877028538283E-3</v>
      </c>
      <c r="CI59" s="138">
        <f>CI13/AVERAGE(BF34:BI34)</f>
        <v>1.4781739862253368E-3</v>
      </c>
      <c r="CJ59" s="138">
        <f>CJ13/AVERAGE(BJ34:BM34)</f>
        <v>1.2511407505591914E-3</v>
      </c>
      <c r="CK59" s="138">
        <f>CK13/AVERAGE(BN34:BQ34)</f>
        <v>1.3855745006611457E-3</v>
      </c>
    </row>
    <row r="60" spans="1:89" x14ac:dyDescent="0.15">
      <c r="A60" s="53" t="s">
        <v>162</v>
      </c>
      <c r="B60" s="139">
        <f>(B15+B14)/((B34+6600)/2)</f>
        <v>7.7777777777777773E-4</v>
      </c>
      <c r="C60" s="139">
        <f t="shared" ref="C60:BN60" si="42">(C15+C14)/((C34+B34)/2)</f>
        <v>9.5714285714285714E-4</v>
      </c>
      <c r="D60" s="139">
        <f t="shared" si="42"/>
        <v>5.1764705882352947E-4</v>
      </c>
      <c r="E60" s="140">
        <f t="shared" si="42"/>
        <v>5.8579999999999993E-4</v>
      </c>
      <c r="F60" s="139">
        <f t="shared" si="42"/>
        <v>7.4400000000000009E-4</v>
      </c>
      <c r="G60" s="139">
        <f t="shared" si="42"/>
        <v>2.1379310344827587E-4</v>
      </c>
      <c r="H60" s="139">
        <f t="shared" si="42"/>
        <v>3.612903225806452E-4</v>
      </c>
      <c r="I60" s="140">
        <f t="shared" si="42"/>
        <v>1.1372972972972988E-4</v>
      </c>
      <c r="J60" s="139">
        <f t="shared" si="42"/>
        <v>2.8444444444444448E-4</v>
      </c>
      <c r="K60" s="139">
        <f t="shared" si="42"/>
        <v>4.0392156862745102E-4</v>
      </c>
      <c r="L60" s="139">
        <f t="shared" si="42"/>
        <v>2.474576271186441E-4</v>
      </c>
      <c r="M60" s="140">
        <f t="shared" si="42"/>
        <v>2.3476470588235283E-4</v>
      </c>
      <c r="N60" s="139">
        <f t="shared" si="42"/>
        <v>3.1139240506329114E-4</v>
      </c>
      <c r="O60" s="139">
        <f t="shared" si="42"/>
        <v>1.9058823529411763E-4</v>
      </c>
      <c r="P60" s="139">
        <f t="shared" si="42"/>
        <v>1.6046511627906975E-4</v>
      </c>
      <c r="Q60" s="140">
        <f t="shared" si="42"/>
        <v>2.3010752688172042E-4</v>
      </c>
      <c r="R60" s="139">
        <f t="shared" si="42"/>
        <v>2.6019417475728156E-4</v>
      </c>
      <c r="S60" s="139">
        <f t="shared" si="42"/>
        <v>3.5315315315315318E-4</v>
      </c>
      <c r="T60" s="139">
        <f t="shared" si="42"/>
        <v>2.4173913043478259E-4</v>
      </c>
      <c r="U60" s="140">
        <f t="shared" si="42"/>
        <v>1.0265486725663716E-4</v>
      </c>
      <c r="V60" s="139">
        <f t="shared" si="42"/>
        <v>2.4485981308411219E-4</v>
      </c>
      <c r="W60" s="139">
        <f t="shared" si="42"/>
        <v>2.3047619047619051E-4</v>
      </c>
      <c r="X60" s="139">
        <f t="shared" si="42"/>
        <v>1.9387755102040816E-4</v>
      </c>
      <c r="Y60" s="140">
        <f t="shared" si="42"/>
        <v>1.9285714285714284E-4</v>
      </c>
      <c r="Z60" s="139">
        <f t="shared" si="42"/>
        <v>2.5853658536585368E-4</v>
      </c>
      <c r="AA60" s="139">
        <f t="shared" si="42"/>
        <v>3.7731958762886601E-4</v>
      </c>
      <c r="AB60" s="139">
        <f t="shared" si="42"/>
        <v>1.2263888888888891E-3</v>
      </c>
      <c r="AC60" s="140">
        <f t="shared" si="42"/>
        <v>3.8222222222222222E-4</v>
      </c>
      <c r="AD60" s="139">
        <f t="shared" si="42"/>
        <v>4.0215053763440861E-4</v>
      </c>
      <c r="AE60" s="139">
        <f t="shared" si="42"/>
        <v>2.0106951871657754E-4</v>
      </c>
      <c r="AF60" s="139">
        <f t="shared" si="42"/>
        <v>2.6505882352941175E-4</v>
      </c>
      <c r="AG60" s="140">
        <f t="shared" si="42"/>
        <v>1.1577777777777778E-3</v>
      </c>
      <c r="AH60" s="139">
        <f t="shared" si="42"/>
        <v>2.2692307692307693E-4</v>
      </c>
      <c r="AI60" s="139">
        <f t="shared" si="42"/>
        <v>1.8947368421052632E-4</v>
      </c>
      <c r="AJ60" s="139">
        <f t="shared" si="42"/>
        <v>1.6526315789473683E-4</v>
      </c>
      <c r="AK60" s="140">
        <f t="shared" si="42"/>
        <v>1.9887005649717513E-4</v>
      </c>
      <c r="AL60" s="139">
        <f t="shared" si="42"/>
        <v>2.1361256544502616E-4</v>
      </c>
      <c r="AM60" s="139">
        <f t="shared" si="42"/>
        <v>2.0822335025380708E-4</v>
      </c>
      <c r="AN60" s="139">
        <f t="shared" si="42"/>
        <v>8.0612244897959178E-5</v>
      </c>
      <c r="AO60" s="140">
        <f t="shared" si="42"/>
        <v>2.4313725490196074E-4</v>
      </c>
      <c r="AP60" s="139">
        <f t="shared" si="42"/>
        <v>2.2037037037037037E-4</v>
      </c>
      <c r="AQ60" s="139">
        <f t="shared" si="42"/>
        <v>2.4493392070484583E-4</v>
      </c>
      <c r="AR60" s="139">
        <f t="shared" si="42"/>
        <v>1.8950413223140495E-4</v>
      </c>
      <c r="AS60" s="140">
        <f t="shared" si="42"/>
        <v>2.1825095057034221E-4</v>
      </c>
      <c r="AT60" s="139">
        <f t="shared" si="42"/>
        <v>2.4454804270462632E-4</v>
      </c>
      <c r="AU60" s="139">
        <f t="shared" si="42"/>
        <v>1.8488000000000001E-4</v>
      </c>
      <c r="AV60" s="139">
        <f t="shared" si="42"/>
        <v>1.9301587301587299E-4</v>
      </c>
      <c r="AW60" s="140">
        <f t="shared" si="42"/>
        <v>2.245398773006135E-4</v>
      </c>
      <c r="AX60" s="139">
        <f t="shared" si="42"/>
        <v>2.9061281337047356E-4</v>
      </c>
      <c r="AY60" s="139">
        <f t="shared" si="42"/>
        <v>2.5520312499999995E-4</v>
      </c>
      <c r="AZ60" s="139">
        <f t="shared" si="42"/>
        <v>2.3788829787234041E-4</v>
      </c>
      <c r="BA60" s="140">
        <f t="shared" si="42"/>
        <v>3.166077922077922E-4</v>
      </c>
      <c r="BB60" s="139">
        <f t="shared" si="42"/>
        <v>2.3893198992443323E-4</v>
      </c>
      <c r="BC60" s="139">
        <f t="shared" si="42"/>
        <v>2.7407960199004976E-4</v>
      </c>
      <c r="BD60" s="139">
        <f t="shared" si="42"/>
        <v>2.1474418604651164E-4</v>
      </c>
      <c r="BE60" s="140">
        <f t="shared" si="42"/>
        <v>2.3615652173913045E-4</v>
      </c>
      <c r="BF60" s="139">
        <f t="shared" si="42"/>
        <v>2.4624089868941125E-4</v>
      </c>
      <c r="BG60" s="139">
        <f t="shared" si="42"/>
        <v>2.0920854768500198E-4</v>
      </c>
      <c r="BH60" s="139">
        <f t="shared" si="42"/>
        <v>1.6411718574483946E-4</v>
      </c>
      <c r="BI60" s="140">
        <f t="shared" si="42"/>
        <v>2.2951880463227729E-4</v>
      </c>
      <c r="BJ60" s="139">
        <f t="shared" si="42"/>
        <v>2.3150822015725517E-4</v>
      </c>
      <c r="BK60" s="139">
        <f t="shared" si="42"/>
        <v>2.0020076961686464E-4</v>
      </c>
      <c r="BL60" s="139">
        <f t="shared" si="42"/>
        <v>1.5074716267339218E-4</v>
      </c>
      <c r="BM60" s="140">
        <f t="shared" si="42"/>
        <v>2.1159829340334753E-4</v>
      </c>
      <c r="BN60" s="139">
        <f t="shared" si="42"/>
        <v>4.0846305418719208E-4</v>
      </c>
      <c r="BO60" s="139">
        <f>(BO15+BO14)/((BO34+BN34)/2)</f>
        <v>1.766420555227407E-4</v>
      </c>
      <c r="BP60" s="139">
        <f>(BP15+BP14)/((BP34+BO34)/2)</f>
        <v>1.5791347892613714E-4</v>
      </c>
      <c r="BQ60" s="140">
        <f>(BQ15+BQ14)/((BQ34+BP34)/2)</f>
        <v>1.888613926549954E-4</v>
      </c>
      <c r="BR60" s="139">
        <f>(BR15+BR14)/((BR34+BQ34)/2)</f>
        <v>3.0994929276754736E-4</v>
      </c>
      <c r="BS60" s="140">
        <f>(BS15+BS14)/((BS34+BR34)/2)</f>
        <v>3.4678127004490056E-4</v>
      </c>
      <c r="BT60" s="139"/>
      <c r="BU60" s="141">
        <f>(BU15+BU14)/((BU34+6600)/2)</f>
        <v>2.483863636363636E-3</v>
      </c>
      <c r="BV60" s="141">
        <f>(BV15+BV14)/AVERAGE(E34:I34)</f>
        <v>1.3054545454545454E-3</v>
      </c>
      <c r="BW60" s="141">
        <f>(BW15+BW14)/AVERAGE(I34:M34)</f>
        <v>1.1422142857142855E-3</v>
      </c>
      <c r="BX60" s="141">
        <f>(BX15+BX14)/AVERAGE(M34:Q34)</f>
        <v>8.8785046728971965E-4</v>
      </c>
      <c r="BY60" s="141">
        <f>(BY15+BY14)/AVERAGE(Q34:U34)</f>
        <v>9.652014652014653E-4</v>
      </c>
      <c r="BZ60" s="141">
        <f>(BZ15+BZ14)/AVERAGE(U34:Y34)</f>
        <v>8.7704918032786893E-4</v>
      </c>
      <c r="CA60" s="141">
        <f>(CA15+CA14)/AVERAGE(Y34:AC34)</f>
        <v>2.39873417721519E-3</v>
      </c>
      <c r="CB60" s="141">
        <f>(CB15+CB14)/AVERAGE(AC34:AG34)</f>
        <v>2.0589789473684211E-3</v>
      </c>
      <c r="CC60" s="141">
        <f>(CC15+CC14)/AVERAGE(AG34:AK34)</f>
        <v>7.858606557377049E-4</v>
      </c>
      <c r="CD60" s="141">
        <f>(CD15+CD14)/AVERAGE(AK34:AO34)</f>
        <v>7.495926680244399E-4</v>
      </c>
      <c r="CE60" s="141">
        <f>(CE15+CE14)/AVERAGE(AO34:AS34)</f>
        <v>8.6893939393939391E-4</v>
      </c>
      <c r="CF60" s="141">
        <f>(CF15+CF14)/AVERAGE(AS34:AW34)</f>
        <v>8.4705380577427831E-4</v>
      </c>
      <c r="CG60" s="141">
        <f>(CG15+CG14)/AVERAGE(AX34:BA34)</f>
        <v>1.0758595578673601E-3</v>
      </c>
      <c r="CH60" s="141">
        <f>(CH15+CH14)/AVERAGE(BB34:BE34)</f>
        <v>9.4201392111368924E-4</v>
      </c>
      <c r="CI60" s="141">
        <f>(CI15+CI14)/AVERAGE(BF34:BI34)</f>
        <v>8.3142192298443665E-4</v>
      </c>
      <c r="CJ60" s="141">
        <f>(CJ15+CJ14)/AVERAGE(BJ34:BM34)</f>
        <v>7.8501201226079034E-4</v>
      </c>
      <c r="CK60" s="141">
        <f>(CK15+CK14)/AVERAGE(BN34:BQ34)</f>
        <v>8.7045445055327427E-4</v>
      </c>
    </row>
    <row r="61" spans="1:89" x14ac:dyDescent="0.15">
      <c r="A61" s="53" t="s">
        <v>53</v>
      </c>
      <c r="B61" s="136">
        <f>B16/((B34+6600)/2)</f>
        <v>6.4920634920634917E-3</v>
      </c>
      <c r="C61" s="136">
        <f t="shared" ref="C61:BM61" si="43">C16/((C34+B34)/2)</f>
        <v>5.8857142857142858E-3</v>
      </c>
      <c r="D61" s="136">
        <f t="shared" si="43"/>
        <v>6.3411764705882364E-3</v>
      </c>
      <c r="E61" s="137">
        <f t="shared" si="43"/>
        <v>5.466399999999998E-3</v>
      </c>
      <c r="F61" s="136">
        <f t="shared" si="43"/>
        <v>6.9760000000000004E-3</v>
      </c>
      <c r="G61" s="136">
        <f t="shared" si="43"/>
        <v>4.1034482758620693E-3</v>
      </c>
      <c r="H61" s="136">
        <f t="shared" si="43"/>
        <v>3.7032258064516126E-3</v>
      </c>
      <c r="I61" s="137">
        <f t="shared" si="43"/>
        <v>4.1319999999999985E-3</v>
      </c>
      <c r="J61" s="136">
        <f t="shared" si="43"/>
        <v>3.986666666666667E-3</v>
      </c>
      <c r="K61" s="136">
        <f t="shared" si="43"/>
        <v>3.6549019607843144E-3</v>
      </c>
      <c r="L61" s="136">
        <f t="shared" si="43"/>
        <v>4.0440677966101695E-3</v>
      </c>
      <c r="M61" s="137">
        <f t="shared" si="43"/>
        <v>3.8808235294117651E-3</v>
      </c>
      <c r="N61" s="136">
        <f t="shared" si="43"/>
        <v>4.4075949367088614E-3</v>
      </c>
      <c r="O61" s="136">
        <f t="shared" si="43"/>
        <v>4.1529411764705884E-3</v>
      </c>
      <c r="P61" s="136">
        <f t="shared" si="43"/>
        <v>3.2255813953488369E-3</v>
      </c>
      <c r="Q61" s="137">
        <f t="shared" si="43"/>
        <v>3.6946236559139783E-3</v>
      </c>
      <c r="R61" s="136">
        <f t="shared" si="43"/>
        <v>3.9922330097087377E-3</v>
      </c>
      <c r="S61" s="136">
        <f t="shared" si="43"/>
        <v>3.3999999999999998E-3</v>
      </c>
      <c r="T61" s="136">
        <f t="shared" si="43"/>
        <v>3.4417391304347828E-3</v>
      </c>
      <c r="U61" s="137">
        <f t="shared" si="43"/>
        <v>3.4230088495575228E-3</v>
      </c>
      <c r="V61" s="136">
        <f t="shared" si="43"/>
        <v>3.6056074766355143E-3</v>
      </c>
      <c r="W61" s="136">
        <f t="shared" si="43"/>
        <v>3.3504761904761906E-3</v>
      </c>
      <c r="X61" s="136">
        <f t="shared" si="43"/>
        <v>3.4693877551020408E-3</v>
      </c>
      <c r="Y61" s="137">
        <f t="shared" si="43"/>
        <v>3.9047619047619048E-3</v>
      </c>
      <c r="Z61" s="136">
        <f t="shared" si="43"/>
        <v>3.709756097560976E-3</v>
      </c>
      <c r="AA61" s="136">
        <f t="shared" si="43"/>
        <v>3.9381443298969077E-3</v>
      </c>
      <c r="AB61" s="136">
        <f t="shared" si="43"/>
        <v>4.3333333333333331E-3</v>
      </c>
      <c r="AC61" s="137">
        <f t="shared" si="43"/>
        <v>2.954444444444444E-3</v>
      </c>
      <c r="AD61" s="136">
        <f t="shared" si="43"/>
        <v>2.9279570000000001E-3</v>
      </c>
      <c r="AE61" s="136">
        <f t="shared" si="43"/>
        <v>2.7372543315508017E-3</v>
      </c>
      <c r="AF61" s="136">
        <f t="shared" si="43"/>
        <v>2.1438379749732623E-3</v>
      </c>
      <c r="AG61" s="137">
        <f t="shared" si="43"/>
        <v>3.5167933031313133E-3</v>
      </c>
      <c r="AH61" s="136">
        <f t="shared" si="43"/>
        <v>2.7853605769230772E-3</v>
      </c>
      <c r="AI61" s="136">
        <f t="shared" si="43"/>
        <v>2.403899521626794E-3</v>
      </c>
      <c r="AJ61" s="136">
        <f t="shared" si="43"/>
        <v>2.8992065624210521E-3</v>
      </c>
      <c r="AK61" s="137">
        <f t="shared" si="43"/>
        <v>3.0034745763841807E-3</v>
      </c>
      <c r="AL61" s="136">
        <f t="shared" si="43"/>
        <v>2.7614806282722517E-3</v>
      </c>
      <c r="AM61" s="136">
        <f t="shared" si="43"/>
        <v>2.3409279187817256E-3</v>
      </c>
      <c r="AN61" s="136">
        <f t="shared" si="43"/>
        <v>2.1408442342857139E-3</v>
      </c>
      <c r="AO61" s="137">
        <f t="shared" si="43"/>
        <v>2.2178562745098036E-3</v>
      </c>
      <c r="AP61" s="136">
        <f t="shared" si="43"/>
        <v>2.2480092592592595E-3</v>
      </c>
      <c r="AQ61" s="136">
        <f t="shared" si="43"/>
        <v>2.0910213920704848E-3</v>
      </c>
      <c r="AR61" s="136">
        <f t="shared" si="43"/>
        <v>1.9937678264462812E-3</v>
      </c>
      <c r="AS61" s="137">
        <f t="shared" si="43"/>
        <v>1.9915715209125476E-3</v>
      </c>
      <c r="AT61" s="136">
        <f t="shared" si="43"/>
        <v>2.0055587188612099E-3</v>
      </c>
      <c r="AU61" s="136">
        <f t="shared" si="43"/>
        <v>1.7242533333333336E-3</v>
      </c>
      <c r="AV61" s="136">
        <f t="shared" si="43"/>
        <v>1.6565079365079363E-3</v>
      </c>
      <c r="AW61" s="137">
        <f t="shared" si="43"/>
        <v>1.7457177914110427E-3</v>
      </c>
      <c r="AX61" s="136">
        <f t="shared" si="43"/>
        <v>1.8253082005571031E-3</v>
      </c>
      <c r="AY61" s="136">
        <f t="shared" si="43"/>
        <v>1.5501834687499999E-3</v>
      </c>
      <c r="AZ61" s="136">
        <f t="shared" si="43"/>
        <v>1.5447579380851065E-3</v>
      </c>
      <c r="BA61" s="137">
        <f t="shared" si="43"/>
        <v>1.674631122077922E-3</v>
      </c>
      <c r="BB61" s="136">
        <f t="shared" si="43"/>
        <v>1.505633811838791E-3</v>
      </c>
      <c r="BC61" s="136">
        <f t="shared" si="43"/>
        <v>1.4601825273631843E-3</v>
      </c>
      <c r="BD61" s="136">
        <f t="shared" si="43"/>
        <v>1.3471627906976743E-3</v>
      </c>
      <c r="BE61" s="137">
        <f t="shared" si="43"/>
        <v>1.3652956521739133E-3</v>
      </c>
      <c r="BF61" s="136">
        <f t="shared" si="43"/>
        <v>1.3471853546910756E-3</v>
      </c>
      <c r="BG61" s="136">
        <f t="shared" si="43"/>
        <v>1.1747130985358132E-3</v>
      </c>
      <c r="BH61" s="136">
        <f>BH16/((BH34+BG34)/2)</f>
        <v>1.1014950014256492E-3</v>
      </c>
      <c r="BI61" s="137">
        <f t="shared" si="43"/>
        <v>1.233868257630129E-3</v>
      </c>
      <c r="BJ61" s="136">
        <f t="shared" si="43"/>
        <v>1.2180879199428162E-3</v>
      </c>
      <c r="BK61" s="136">
        <f t="shared" si="43"/>
        <v>1.059524845240087E-3</v>
      </c>
      <c r="BL61" s="136">
        <f t="shared" si="43"/>
        <v>9.6290668348045401E-4</v>
      </c>
      <c r="BM61" s="137">
        <f t="shared" si="43"/>
        <v>1.1405316704955694E-3</v>
      </c>
      <c r="BN61" s="137">
        <f t="shared" ref="BN61:BS61" si="44">BN16/((BN34+BM34)/2)</f>
        <v>1.3219901477832512E-3</v>
      </c>
      <c r="BO61" s="137">
        <f t="shared" si="44"/>
        <v>1.0962669816893089E-3</v>
      </c>
      <c r="BP61" s="137">
        <f t="shared" si="44"/>
        <v>1.0333509528446237E-3</v>
      </c>
      <c r="BQ61" s="137">
        <f t="shared" si="44"/>
        <v>1.1272318020271158E-3</v>
      </c>
      <c r="BR61" s="137">
        <f t="shared" si="44"/>
        <v>1.7193274619695753E-3</v>
      </c>
      <c r="BS61" s="137">
        <f t="shared" si="44"/>
        <v>1.6684746632456703E-3</v>
      </c>
      <c r="BT61" s="136"/>
      <c r="BU61" s="138">
        <f>BU16/((BU34+6600)/2)</f>
        <v>2.166636363636364E-2</v>
      </c>
      <c r="BV61" s="138">
        <f>BV16/AVERAGE(E34:I34)</f>
        <v>1.8217012987012986E-2</v>
      </c>
      <c r="BW61" s="138">
        <f>BW16/AVERAGE(I34:M34)</f>
        <v>1.5505285714285715E-2</v>
      </c>
      <c r="BX61" s="138">
        <f>BX16/AVERAGE(M34:Q34)</f>
        <v>1.5446261682242989E-2</v>
      </c>
      <c r="BY61" s="138">
        <f>BY16/AVERAGE(Q34:U34)</f>
        <v>1.4388278388278391E-2</v>
      </c>
      <c r="BZ61" s="138">
        <f>BZ16/AVERAGE(U34:Y34)</f>
        <v>1.4401639344262302E-2</v>
      </c>
      <c r="CA61" s="138">
        <f>CA16/AVERAGE(Y34:AC34)</f>
        <v>1.457278481012658E-2</v>
      </c>
      <c r="CB61" s="138">
        <f>CB16/AVERAGE(AC34:AG34)</f>
        <v>1.1335207038631579E-2</v>
      </c>
      <c r="CC61" s="138">
        <f>CC16/AVERAGE(AG34:AK34)</f>
        <v>1.1087265609118853E-2</v>
      </c>
      <c r="CD61" s="138">
        <f>CD16/AVERAGE(AK34:AO34)</f>
        <v>9.4737970973523423E-3</v>
      </c>
      <c r="CE61" s="138">
        <f>CE16/AVERAGE(AO34:AS34)</f>
        <v>8.2765445286195286E-3</v>
      </c>
      <c r="CF61" s="138">
        <f>CF16/AVERAGE(AS34:AW34)</f>
        <v>7.1251377952755912E-3</v>
      </c>
      <c r="CG61" s="138">
        <f>CG16/AVERAGE(AX34:BA34)</f>
        <v>6.4398389147464243E-3</v>
      </c>
      <c r="CH61" s="138">
        <f>CH16/AVERAGE(BB34:BE34)</f>
        <v>5.5499907176334113E-3</v>
      </c>
      <c r="CI61" s="138">
        <f>CI16/AVERAGE(BF34:BI34)</f>
        <v>4.7606762466773766E-3</v>
      </c>
      <c r="CJ61" s="138">
        <f>CJ16/AVERAGE(BJ34:BM34)</f>
        <v>4.3423544031149031E-3</v>
      </c>
      <c r="CK61" s="138">
        <f>CK16/AVERAGE(BN34:BQ34)</f>
        <v>4.3798705546662956E-3</v>
      </c>
    </row>
    <row r="62" spans="1:89" x14ac:dyDescent="0.15">
      <c r="A62" s="53" t="s">
        <v>54</v>
      </c>
      <c r="B62" s="142">
        <f>(B22-B21)/((B34+6600)/2)</f>
        <v>-6.0793650793650802E-3</v>
      </c>
      <c r="C62" s="142">
        <f t="shared" ref="C62:BN62" si="45">(C22-C21)/((C34+B34)/2)</f>
        <v>-5.2571428571428578E-3</v>
      </c>
      <c r="D62" s="142">
        <f t="shared" si="45"/>
        <v>-4.329411764705882E-3</v>
      </c>
      <c r="E62" s="143">
        <f t="shared" si="45"/>
        <v>-3.6652000000000008E-3</v>
      </c>
      <c r="F62" s="142">
        <f t="shared" si="45"/>
        <v>-2.96E-3</v>
      </c>
      <c r="G62" s="142">
        <f t="shared" si="45"/>
        <v>-2.6896551724137933E-3</v>
      </c>
      <c r="H62" s="142">
        <f t="shared" si="45"/>
        <v>-3.0000000000000001E-3</v>
      </c>
      <c r="I62" s="143">
        <f t="shared" si="45"/>
        <v>-3.0734594594594598E-3</v>
      </c>
      <c r="J62" s="142">
        <f t="shared" si="45"/>
        <v>-2.4622222222222224E-3</v>
      </c>
      <c r="K62" s="142">
        <f t="shared" si="45"/>
        <v>-2.2901960784313725E-3</v>
      </c>
      <c r="L62" s="142">
        <f t="shared" si="45"/>
        <v>-2E-3</v>
      </c>
      <c r="M62" s="143">
        <f t="shared" si="45"/>
        <v>-1.7583823529411769E-3</v>
      </c>
      <c r="N62" s="144">
        <f t="shared" si="45"/>
        <v>-2.0481012658227849E-3</v>
      </c>
      <c r="O62" s="142">
        <f t="shared" si="45"/>
        <v>-2.1247058823529413E-3</v>
      </c>
      <c r="P62" s="144">
        <f t="shared" si="45"/>
        <v>-2.0395348837209302E-3</v>
      </c>
      <c r="Q62" s="143">
        <f t="shared" si="45"/>
        <v>-2.3655913978494624E-3</v>
      </c>
      <c r="R62" s="144">
        <f t="shared" si="45"/>
        <v>-2.095145631067961E-3</v>
      </c>
      <c r="S62" s="142">
        <f t="shared" si="45"/>
        <v>-1.9783783783783784E-3</v>
      </c>
      <c r="T62" s="144">
        <f t="shared" si="45"/>
        <v>-2.0313043478260872E-3</v>
      </c>
      <c r="U62" s="143">
        <f t="shared" si="45"/>
        <v>-3.033628318584071E-3</v>
      </c>
      <c r="V62" s="142">
        <f t="shared" si="45"/>
        <v>-2.6429906542056072E-3</v>
      </c>
      <c r="W62" s="142">
        <f t="shared" si="45"/>
        <v>-2.6304761904761905E-3</v>
      </c>
      <c r="X62" s="142">
        <f t="shared" si="45"/>
        <v>-2.259183673469388E-3</v>
      </c>
      <c r="Y62" s="143">
        <f t="shared" si="45"/>
        <v>-2.8714285714285712E-3</v>
      </c>
      <c r="Z62" s="142">
        <f t="shared" si="45"/>
        <v>-2.9048780487804875E-3</v>
      </c>
      <c r="AA62" s="142">
        <f t="shared" si="45"/>
        <v>-2.7030927835051547E-3</v>
      </c>
      <c r="AB62" s="142">
        <f t="shared" si="45"/>
        <v>-2.5611111111111108E-3</v>
      </c>
      <c r="AC62" s="143">
        <f t="shared" si="45"/>
        <v>-2.5266666666666666E-3</v>
      </c>
      <c r="AD62" s="142">
        <f t="shared" si="45"/>
        <v>-2.1677419462365587E-3</v>
      </c>
      <c r="AE62" s="142">
        <f t="shared" si="45"/>
        <v>-2.0484842780748667E-3</v>
      </c>
      <c r="AF62" s="142">
        <f t="shared" si="45"/>
        <v>-1.8894743386096259E-3</v>
      </c>
      <c r="AG62" s="143">
        <f t="shared" si="45"/>
        <v>-2.3908337071717172E-3</v>
      </c>
      <c r="AH62" s="142">
        <f t="shared" si="45"/>
        <v>-1.718341346153846E-3</v>
      </c>
      <c r="AI62" s="142">
        <f t="shared" si="45"/>
        <v>-1.6555741627751193E-3</v>
      </c>
      <c r="AJ62" s="142">
        <f t="shared" si="45"/>
        <v>-1.7339434045263158E-3</v>
      </c>
      <c r="AK62" s="143">
        <f t="shared" si="45"/>
        <v>-1.9583898306214688E-3</v>
      </c>
      <c r="AL62" s="142">
        <f t="shared" si="45"/>
        <v>-1.6771874345549735E-3</v>
      </c>
      <c r="AM62" s="142">
        <f t="shared" si="45"/>
        <v>-1.6837705583756344E-3</v>
      </c>
      <c r="AN62" s="142">
        <f t="shared" si="45"/>
        <v>-1.7041095404081632E-3</v>
      </c>
      <c r="AO62" s="143">
        <f t="shared" si="45"/>
        <v>-1.6207974509803923E-3</v>
      </c>
      <c r="AP62" s="142">
        <f t="shared" si="45"/>
        <v>-1.4980092592592595E-3</v>
      </c>
      <c r="AQ62" s="145">
        <f t="shared" si="45"/>
        <v>-1.3896998061674007E-3</v>
      </c>
      <c r="AR62" s="142">
        <f t="shared" si="45"/>
        <v>-1.3293215454545453E-3</v>
      </c>
      <c r="AS62" s="143">
        <f t="shared" si="45"/>
        <v>-1.2927122053231939E-3</v>
      </c>
      <c r="AT62" s="142">
        <f t="shared" si="45"/>
        <v>-1.2500711743772242E-3</v>
      </c>
      <c r="AU62" s="145">
        <f t="shared" si="45"/>
        <v>-1.1753933333333332E-3</v>
      </c>
      <c r="AV62" s="142">
        <f t="shared" si="45"/>
        <v>-1.1142158730158731E-3</v>
      </c>
      <c r="AW62" s="137">
        <f t="shared" si="45"/>
        <v>-1.0943619631901842E-3</v>
      </c>
      <c r="AX62" s="145">
        <f t="shared" si="45"/>
        <v>-1.0003666963788302E-3</v>
      </c>
      <c r="AY62" s="145">
        <f t="shared" si="45"/>
        <v>-9.6155846875000002E-4</v>
      </c>
      <c r="AZ62" s="145">
        <f t="shared" si="45"/>
        <v>-9.8147070404255312E-4</v>
      </c>
      <c r="BA62" s="146">
        <f t="shared" si="45"/>
        <v>-1.0357895636363636E-3</v>
      </c>
      <c r="BB62" s="145">
        <f t="shared" si="45"/>
        <v>-1.0145859528967254E-3</v>
      </c>
      <c r="BC62" s="145">
        <f t="shared" si="45"/>
        <v>-9.9688401990049745E-4</v>
      </c>
      <c r="BD62" s="145">
        <f t="shared" si="45"/>
        <v>-9.2239999999999998E-4</v>
      </c>
      <c r="BE62" s="146">
        <f t="shared" si="45"/>
        <v>-8.6567826086956514E-4</v>
      </c>
      <c r="BF62" s="145">
        <f t="shared" si="45"/>
        <v>-9.9995839400873732E-4</v>
      </c>
      <c r="BG62" s="145">
        <f t="shared" si="45"/>
        <v>-1.0553977047882866E-3</v>
      </c>
      <c r="BH62" s="145">
        <f t="shared" si="45"/>
        <v>-8.6694757303974453E-4</v>
      </c>
      <c r="BI62" s="146">
        <f t="shared" si="45"/>
        <v>-1.0112956995466708E-3</v>
      </c>
      <c r="BJ62" s="145">
        <f t="shared" si="45"/>
        <v>-1.0327305218012868E-3</v>
      </c>
      <c r="BK62" s="145">
        <f t="shared" si="45"/>
        <v>-9.2875355529529861E-4</v>
      </c>
      <c r="BL62" s="145">
        <f t="shared" si="45"/>
        <v>-8.3509142496847408E-4</v>
      </c>
      <c r="BM62" s="146">
        <f t="shared" si="45"/>
        <v>-9.9058746307843781E-4</v>
      </c>
      <c r="BN62" s="145">
        <f t="shared" si="45"/>
        <v>-8.7630870279146143E-4</v>
      </c>
      <c r="BO62" s="145">
        <f>(BO22-BO21)/((BO34+BN34)/2)</f>
        <v>-8.1922917897223871E-4</v>
      </c>
      <c r="BP62" s="145">
        <f>(BP22-BP21)/((BP34+BO34)/2)</f>
        <v>-7.6144943663930998E-4</v>
      </c>
      <c r="BQ62" s="146">
        <f>(BQ22-BQ21)/((BQ34+BP34)/2)</f>
        <v>-9.0658417796498616E-4</v>
      </c>
      <c r="BR62" s="145">
        <f>(BR22-BR21)/((BR34+BQ34)/2)</f>
        <v>-6.9100346944222038E-4</v>
      </c>
      <c r="BS62" s="146">
        <f>(BS22-BS21)/((BS34+BR34)/2)</f>
        <v>-6.9571520205259792E-4</v>
      </c>
      <c r="BT62" s="147"/>
      <c r="BU62" s="148">
        <f>(BU22-BU21)/((BU34+6600)/2)</f>
        <v>-1.6880909090909092E-2</v>
      </c>
      <c r="BV62" s="148">
        <f>(BV22-BV21)/AVERAGE(E34:I34)</f>
        <v>-1.1646688311688313E-2</v>
      </c>
      <c r="BW62" s="148">
        <f>(BW22-BW21)/AVERAGE(I34:M34)</f>
        <v>-8.3066071428571434E-3</v>
      </c>
      <c r="BX62" s="148">
        <f>(BX22-BX21)/AVERAGE(M34:Q34)</f>
        <v>-8.6191588785046718E-3</v>
      </c>
      <c r="BY62" s="148">
        <f>(BY22-BY21)/AVERAGE(Q34:U34)</f>
        <v>-9.2655677655677643E-3</v>
      </c>
      <c r="BZ62" s="148">
        <f>(BZ22-BZ21)/AVERAGE(U34:Y34)</f>
        <v>-1.0467213114754098E-2</v>
      </c>
      <c r="CA62" s="148">
        <f>(CA22-CA21)/AVERAGE(Y34:AC34)</f>
        <v>-1.0474683544303797E-2</v>
      </c>
      <c r="CB62" s="148">
        <f>(CB22-CB21)/AVERAGE(AC34:AG34)</f>
        <v>-8.489385985999999E-3</v>
      </c>
      <c r="CC62" s="148">
        <f>(CC22-CC21)/AVERAGE(AG34:AK34)</f>
        <v>-7.0671836419057372E-3</v>
      </c>
      <c r="CD62" s="148">
        <f>(CD22-CD21)/AVERAGE(AK34:AO34)</f>
        <v>-6.7041433295315688E-3</v>
      </c>
      <c r="CE62" s="148">
        <f>(CE22-CE21)/AVERAGE(AO34:AS34)</f>
        <v>-5.4743728114478116E-3</v>
      </c>
      <c r="CF62" s="148">
        <f>(CF22-CF21)/AVERAGE(AS34:AW34)</f>
        <v>-4.6313254593175852E-3</v>
      </c>
      <c r="CG62" s="148">
        <f>(CG22-CG21)/AVERAGE(AX34:BA34)</f>
        <v>-3.8912407352925883E-3</v>
      </c>
      <c r="CH62" s="149">
        <f>(CH22-CH21)/AVERAGE(BB34:BE34)</f>
        <v>-3.7085429218097449E-3</v>
      </c>
      <c r="CI62" s="149">
        <f>(CI22-CI21)/AVERAGE(BF34:BI34)</f>
        <v>-3.8594343682249064E-3</v>
      </c>
      <c r="CJ62" s="149">
        <f>(CJ22-CJ21)/AVERAGE(BJ34:BM34)</f>
        <v>-3.7552448015905891E-3</v>
      </c>
      <c r="CK62" s="149">
        <f>(CK22-CK21)/AVERAGE(BN34:BQ34)</f>
        <v>-3.2355654534066396E-3</v>
      </c>
    </row>
    <row r="63" spans="1:89" x14ac:dyDescent="0.15">
      <c r="A63" s="53"/>
      <c r="B63" s="45"/>
      <c r="C63" s="53"/>
      <c r="D63" s="45"/>
      <c r="E63" s="74"/>
      <c r="F63" s="45"/>
      <c r="G63" s="53"/>
      <c r="H63" s="45"/>
      <c r="I63" s="74"/>
      <c r="J63" s="45"/>
      <c r="K63" s="53"/>
      <c r="L63" s="45"/>
      <c r="M63" s="74"/>
      <c r="N63" s="123"/>
      <c r="O63" s="53"/>
      <c r="P63" s="123"/>
      <c r="Q63" s="74"/>
      <c r="R63" s="123"/>
      <c r="S63" s="53"/>
      <c r="T63" s="123"/>
      <c r="U63" s="74"/>
      <c r="V63" s="53"/>
      <c r="W63" s="53"/>
      <c r="X63" s="53"/>
      <c r="Y63" s="74"/>
      <c r="Z63" s="53"/>
      <c r="AA63" s="53"/>
      <c r="AB63" s="53"/>
      <c r="AC63" s="74"/>
      <c r="AD63" s="53"/>
      <c r="AE63" s="53"/>
      <c r="AF63" s="53"/>
      <c r="AG63" s="74"/>
      <c r="AH63" s="53"/>
      <c r="AI63" s="53"/>
      <c r="AJ63" s="53"/>
      <c r="AK63" s="74"/>
      <c r="AL63" s="53"/>
      <c r="AM63" s="53"/>
      <c r="AN63" s="53"/>
      <c r="AO63" s="74"/>
      <c r="AP63" s="53"/>
      <c r="AQ63" s="53"/>
      <c r="AR63" s="53"/>
      <c r="AS63" s="74"/>
      <c r="AT63" s="53"/>
      <c r="AU63" s="53"/>
      <c r="AV63" s="53"/>
      <c r="AW63" s="74"/>
      <c r="AX63" s="53"/>
      <c r="BA63" s="34"/>
      <c r="BB63" s="35"/>
      <c r="BC63" s="150"/>
      <c r="BD63" s="150"/>
      <c r="BE63" s="42"/>
      <c r="BF63" s="33"/>
      <c r="BG63" s="33"/>
      <c r="BH63" s="33"/>
      <c r="BI63" s="42"/>
      <c r="BJ63" s="33"/>
      <c r="BK63" s="33"/>
      <c r="BL63" s="33"/>
      <c r="BM63" s="42"/>
      <c r="BN63" s="33"/>
      <c r="BO63" s="33"/>
      <c r="BP63" s="33"/>
      <c r="BQ63" s="42"/>
      <c r="BR63" s="150"/>
      <c r="BS63" s="42"/>
      <c r="BT63" s="53"/>
      <c r="BU63" s="124"/>
      <c r="BV63" s="124"/>
      <c r="BW63" s="124"/>
      <c r="BX63" s="124"/>
      <c r="BY63" s="124"/>
      <c r="BZ63" s="124"/>
      <c r="CA63" s="124"/>
      <c r="CB63" s="124"/>
      <c r="CC63" s="74"/>
      <c r="CD63" s="74"/>
      <c r="CE63" s="74"/>
      <c r="CF63" s="74"/>
      <c r="CG63" s="74"/>
      <c r="CH63" s="34"/>
      <c r="CI63" s="34"/>
      <c r="CJ63" s="34"/>
      <c r="CK63" s="34"/>
    </row>
    <row r="64" spans="1:89" x14ac:dyDescent="0.15">
      <c r="A64" s="53" t="s">
        <v>55</v>
      </c>
      <c r="B64" s="151">
        <f t="shared" ref="B64:BK64" si="46">B24/B16</f>
        <v>5.3789731051344644E-2</v>
      </c>
      <c r="C64" s="151">
        <f t="shared" si="46"/>
        <v>0.10194174757281542</v>
      </c>
      <c r="D64" s="151">
        <f t="shared" si="46"/>
        <v>0.31354359925788505</v>
      </c>
      <c r="E64" s="152">
        <f t="shared" si="46"/>
        <v>0.32756475925654865</v>
      </c>
      <c r="F64" s="151">
        <f t="shared" si="46"/>
        <v>0.57339449541284404</v>
      </c>
      <c r="G64" s="151">
        <f t="shared" si="46"/>
        <v>0.34285714285714292</v>
      </c>
      <c r="H64" s="151">
        <f t="shared" si="46"/>
        <v>0.18989547038327523</v>
      </c>
      <c r="I64" s="152">
        <f t="shared" si="46"/>
        <v>0.25618115695560001</v>
      </c>
      <c r="J64" s="151">
        <f t="shared" si="46"/>
        <v>0.38238573021181721</v>
      </c>
      <c r="K64" s="151">
        <f t="shared" si="46"/>
        <v>0.37339055793991427</v>
      </c>
      <c r="L64" s="151">
        <f t="shared" si="46"/>
        <v>0.49455155071248957</v>
      </c>
      <c r="M64" s="152">
        <f t="shared" si="46"/>
        <v>0.54563161245339076</v>
      </c>
      <c r="N64" s="151">
        <f t="shared" si="46"/>
        <v>0.53532452613440551</v>
      </c>
      <c r="O64" s="151">
        <f t="shared" si="46"/>
        <v>0.48611898016997168</v>
      </c>
      <c r="P64" s="151">
        <f t="shared" si="46"/>
        <v>0.36697909156452774</v>
      </c>
      <c r="Q64" s="152">
        <f t="shared" si="46"/>
        <v>0.36204889406286378</v>
      </c>
      <c r="R64" s="151">
        <f t="shared" si="46"/>
        <v>0.47568093385214005</v>
      </c>
      <c r="S64" s="151">
        <f t="shared" si="46"/>
        <v>0.4149443561208267</v>
      </c>
      <c r="T64" s="151">
        <f t="shared" si="46"/>
        <v>0.40980293077311769</v>
      </c>
      <c r="U64" s="152">
        <f t="shared" si="46"/>
        <v>0.11116856256463302</v>
      </c>
      <c r="V64" s="151">
        <f t="shared" si="46"/>
        <v>0.26594090202177312</v>
      </c>
      <c r="W64" s="151">
        <f t="shared" si="46"/>
        <v>0.21489482660602621</v>
      </c>
      <c r="X64" s="151">
        <f t="shared" si="46"/>
        <v>0.3352941176470588</v>
      </c>
      <c r="Y64" s="152">
        <f t="shared" si="46"/>
        <v>0.22195121951219515</v>
      </c>
      <c r="Z64" s="151">
        <f t="shared" si="46"/>
        <v>0.21367521367521383</v>
      </c>
      <c r="AA64" s="151">
        <f t="shared" si="46"/>
        <v>0.31413612565445037</v>
      </c>
      <c r="AB64" s="151">
        <f t="shared" si="46"/>
        <v>0.40288461538461545</v>
      </c>
      <c r="AC64" s="152">
        <f t="shared" si="46"/>
        <v>0.13012410680707021</v>
      </c>
      <c r="AD64" s="151">
        <f t="shared" si="46"/>
        <v>0.25964010187425612</v>
      </c>
      <c r="AE64" s="151">
        <f t="shared" si="46"/>
        <v>0.251628080568498</v>
      </c>
      <c r="AF64" s="151">
        <f t="shared" si="46"/>
        <v>0.11615432028339466</v>
      </c>
      <c r="AG64" s="152">
        <f t="shared" si="46"/>
        <v>0.29230600418412311</v>
      </c>
      <c r="AH64" s="151">
        <f t="shared" si="46"/>
        <v>0.34282952593832805</v>
      </c>
      <c r="AI64" s="151">
        <f t="shared" si="46"/>
        <v>0.26551755022180806</v>
      </c>
      <c r="AJ64" s="151">
        <f t="shared" si="46"/>
        <v>0.36670650119149356</v>
      </c>
      <c r="AK64" s="152">
        <f t="shared" si="46"/>
        <v>0.31766598006761793</v>
      </c>
      <c r="AL64" s="151">
        <f t="shared" si="46"/>
        <v>0.35093852831055816</v>
      </c>
      <c r="AM64" s="151">
        <f t="shared" si="46"/>
        <v>0.22955017186989057</v>
      </c>
      <c r="AN64" s="151">
        <f t="shared" si="46"/>
        <v>0.15776724743989007</v>
      </c>
      <c r="AO64" s="152">
        <f t="shared" si="46"/>
        <v>0.21527588864958525</v>
      </c>
      <c r="AP64" s="151">
        <f t="shared" si="46"/>
        <v>0.29038037770043451</v>
      </c>
      <c r="AQ64" s="151">
        <f t="shared" si="46"/>
        <v>0.28694111034698372</v>
      </c>
      <c r="AR64" s="151">
        <f t="shared" si="46"/>
        <v>0.2988651741146432</v>
      </c>
      <c r="AS64" s="152">
        <f t="shared" si="46"/>
        <v>0.31845230043698797</v>
      </c>
      <c r="AT64" s="151">
        <f t="shared" si="46"/>
        <v>0.33831947505332161</v>
      </c>
      <c r="AU64" s="151">
        <f t="shared" si="46"/>
        <v>0.27345556337429155</v>
      </c>
      <c r="AV64" s="151">
        <f t="shared" si="46"/>
        <v>0.28865848984285158</v>
      </c>
      <c r="AW64" s="152">
        <f t="shared" si="46"/>
        <v>0.33621622761393327</v>
      </c>
      <c r="AX64" s="151">
        <f t="shared" si="46"/>
        <v>0.41591327766063491</v>
      </c>
      <c r="AY64" s="151">
        <f t="shared" si="46"/>
        <v>0.34017814813358149</v>
      </c>
      <c r="AZ64" s="151">
        <f t="shared" si="46"/>
        <v>0.3370665120894038</v>
      </c>
      <c r="BA64" s="152">
        <f t="shared" si="46"/>
        <v>0.35123377634184688</v>
      </c>
      <c r="BB64" s="151">
        <f t="shared" si="46"/>
        <v>0.29829860351472964</v>
      </c>
      <c r="BC64" s="151">
        <f t="shared" si="46"/>
        <v>0.29587386689692408</v>
      </c>
      <c r="BD64" s="151">
        <f t="shared" si="46"/>
        <v>0.29007043226073748</v>
      </c>
      <c r="BE64" s="152">
        <f t="shared" si="46"/>
        <v>0.34306313650809833</v>
      </c>
      <c r="BF64" s="151">
        <f t="shared" si="46"/>
        <v>0.22830732930610639</v>
      </c>
      <c r="BG64" s="151">
        <f t="shared" si="46"/>
        <v>7.0570995452248472E-2</v>
      </c>
      <c r="BH64" s="151">
        <f t="shared" si="46"/>
        <v>0.18137511538514525</v>
      </c>
      <c r="BI64" s="152">
        <f t="shared" si="46"/>
        <v>0.15815263407574651</v>
      </c>
      <c r="BJ64" s="151">
        <f t="shared" si="46"/>
        <v>0.12297657714753479</v>
      </c>
      <c r="BK64" s="151">
        <f t="shared" si="46"/>
        <v>9.2720732442939865E-2</v>
      </c>
      <c r="BL64" s="151">
        <f>BL24/BL16</f>
        <v>9.4698036236961283E-2</v>
      </c>
      <c r="BM64" s="152">
        <f>BM24/BM16</f>
        <v>0.1179126381215469</v>
      </c>
      <c r="BN64" s="151">
        <f t="shared" ref="BN64:BS64" si="47">BN24/BN16</f>
        <v>0.3203658712296234</v>
      </c>
      <c r="BO64" s="151">
        <f t="shared" si="47"/>
        <v>0.22117425834330096</v>
      </c>
      <c r="BP64" s="151">
        <f t="shared" si="47"/>
        <v>0.24836984907306206</v>
      </c>
      <c r="BQ64" s="152">
        <f t="shared" si="47"/>
        <v>0.17306547028228841</v>
      </c>
      <c r="BR64" s="151">
        <f t="shared" si="47"/>
        <v>0.56981025469085667</v>
      </c>
      <c r="BS64" s="152">
        <f t="shared" si="47"/>
        <v>0.56763926137342213</v>
      </c>
      <c r="BT64" s="151"/>
      <c r="BU64" s="153">
        <f t="shared" ref="BU64:CF64" si="48">BU24/BU16</f>
        <v>0.21611840725045098</v>
      </c>
      <c r="BV64" s="153">
        <f t="shared" si="48"/>
        <v>0.35960034504637439</v>
      </c>
      <c r="BW64" s="153">
        <f t="shared" si="48"/>
        <v>0.46089121682007056</v>
      </c>
      <c r="BX64" s="153">
        <f t="shared" si="48"/>
        <v>0.44183935864468304</v>
      </c>
      <c r="BY64" s="153">
        <f t="shared" si="48"/>
        <v>0.3547606924643586</v>
      </c>
      <c r="BZ64" s="153">
        <f t="shared" si="48"/>
        <v>0.25967558338076302</v>
      </c>
      <c r="CA64" s="153">
        <f t="shared" si="48"/>
        <v>0.27448425624321376</v>
      </c>
      <c r="CB64" s="153">
        <f t="shared" si="48"/>
        <v>0.24158823233188523</v>
      </c>
      <c r="CC64" s="152">
        <f t="shared" si="48"/>
        <v>0.32477815236812385</v>
      </c>
      <c r="CD64" s="152">
        <f t="shared" si="48"/>
        <v>0.24430123015609112</v>
      </c>
      <c r="CE64" s="152">
        <f t="shared" si="48"/>
        <v>0.29910903240221393</v>
      </c>
      <c r="CF64" s="152">
        <f t="shared" si="48"/>
        <v>0.31038677706652085</v>
      </c>
      <c r="CG64" s="152">
        <f>CG24/CG16</f>
        <v>0.3623696355634814</v>
      </c>
      <c r="CH64" s="152">
        <f>CH24/CH16</f>
        <v>0.30746398698654842</v>
      </c>
      <c r="CI64" s="152">
        <f>CI24/CI16</f>
        <v>0.16093344565591372</v>
      </c>
      <c r="CJ64" s="152">
        <f>CJ24/CJ16</f>
        <v>0.10773160237909531</v>
      </c>
      <c r="CK64" s="152">
        <f>CK24/CK16</f>
        <v>0.23988040873062033</v>
      </c>
    </row>
    <row r="65" spans="1:89" x14ac:dyDescent="0.15">
      <c r="A65" s="53" t="s">
        <v>163</v>
      </c>
      <c r="B65" s="151">
        <f t="shared" ref="B65:BK65" si="49">-(B9+B13+B14+B15)/(B22)</f>
        <v>0.41860465116279066</v>
      </c>
      <c r="C65" s="151">
        <f t="shared" si="49"/>
        <v>0.49999999999999989</v>
      </c>
      <c r="D65" s="151">
        <f t="shared" si="49"/>
        <v>0.48108108108108111</v>
      </c>
      <c r="E65" s="152">
        <f t="shared" si="49"/>
        <v>0.56341476685347391</v>
      </c>
      <c r="F65" s="151">
        <f t="shared" si="49"/>
        <v>0.7876344086021505</v>
      </c>
      <c r="G65" s="151">
        <f t="shared" si="49"/>
        <v>0.65984654731457804</v>
      </c>
      <c r="H65" s="151">
        <f t="shared" si="49"/>
        <v>0.60430107526881727</v>
      </c>
      <c r="I65" s="152">
        <f t="shared" si="49"/>
        <v>0.49376527902354955</v>
      </c>
      <c r="J65" s="151">
        <f t="shared" si="49"/>
        <v>0.66787003610108298</v>
      </c>
      <c r="K65" s="151">
        <f t="shared" si="49"/>
        <v>0.68150684931506844</v>
      </c>
      <c r="L65" s="151">
        <f t="shared" si="49"/>
        <v>0.71973466003316755</v>
      </c>
      <c r="M65" s="152">
        <f t="shared" si="49"/>
        <v>0.88360882691441645</v>
      </c>
      <c r="N65" s="151">
        <f t="shared" si="49"/>
        <v>0.80222496909765129</v>
      </c>
      <c r="O65" s="151">
        <f t="shared" si="49"/>
        <v>0.77177508269018735</v>
      </c>
      <c r="P65" s="151">
        <f t="shared" si="49"/>
        <v>0.73348519362186781</v>
      </c>
      <c r="Q65" s="152">
        <f t="shared" si="49"/>
        <v>0.70164233576642332</v>
      </c>
      <c r="R65" s="151">
        <f t="shared" si="49"/>
        <v>0.84415584415584399</v>
      </c>
      <c r="S65" s="151">
        <f t="shared" si="49"/>
        <v>0.90126811594202905</v>
      </c>
      <c r="T65" s="151">
        <f t="shared" si="49"/>
        <v>0.87585616438356151</v>
      </c>
      <c r="U65" s="152">
        <f t="shared" si="49"/>
        <v>0.53635834787667236</v>
      </c>
      <c r="V65" s="151">
        <f t="shared" si="49"/>
        <v>0.65677966101694929</v>
      </c>
      <c r="W65" s="151">
        <f t="shared" si="49"/>
        <v>0.65604634322954403</v>
      </c>
      <c r="X65" s="151">
        <f t="shared" si="49"/>
        <v>0.74159292035398217</v>
      </c>
      <c r="Y65" s="152">
        <f t="shared" si="49"/>
        <v>0.4843260188087774</v>
      </c>
      <c r="Z65" s="151">
        <f t="shared" si="49"/>
        <v>0.48327759197324416</v>
      </c>
      <c r="AA65" s="151">
        <f t="shared" si="49"/>
        <v>0.49236641221374045</v>
      </c>
      <c r="AB65" s="151">
        <f t="shared" si="49"/>
        <v>0.89694041867954932</v>
      </c>
      <c r="AC65" s="152">
        <f t="shared" si="49"/>
        <v>0.55252918287937747</v>
      </c>
      <c r="AD65" s="151">
        <f t="shared" si="49"/>
        <v>0.65079365252582522</v>
      </c>
      <c r="AE65" s="151">
        <f t="shared" si="49"/>
        <v>0.54890345949278363</v>
      </c>
      <c r="AF65" s="151">
        <f t="shared" si="49"/>
        <v>0.59802072614618618</v>
      </c>
      <c r="AG65" s="152">
        <f t="shared" si="49"/>
        <v>0.98120884643591255</v>
      </c>
      <c r="AH65" s="151">
        <f t="shared" si="49"/>
        <v>0.90119111718124156</v>
      </c>
      <c r="AI65" s="151">
        <f t="shared" si="49"/>
        <v>0.94146579407658415</v>
      </c>
      <c r="AJ65" s="151">
        <f t="shared" si="49"/>
        <v>0.95585485667916525</v>
      </c>
      <c r="AK65" s="152">
        <f t="shared" si="49"/>
        <v>0.97319284664879202</v>
      </c>
      <c r="AL65" s="151">
        <f t="shared" si="49"/>
        <v>0.97517108582391721</v>
      </c>
      <c r="AM65" s="151">
        <f t="shared" si="49"/>
        <v>0.93824985336451039</v>
      </c>
      <c r="AN65" s="151">
        <f t="shared" si="49"/>
        <v>0.82965741867654885</v>
      </c>
      <c r="AO65" s="152">
        <f t="shared" si="49"/>
        <v>0.93690899358916502</v>
      </c>
      <c r="AP65" s="151">
        <f t="shared" si="49"/>
        <v>0.92570450126244297</v>
      </c>
      <c r="AQ65" s="151">
        <f t="shared" si="49"/>
        <v>0.9704545731735279</v>
      </c>
      <c r="AR65" s="151">
        <f t="shared" si="49"/>
        <v>0.94561500089978534</v>
      </c>
      <c r="AS65" s="152">
        <f t="shared" si="49"/>
        <v>0.96806573394145523</v>
      </c>
      <c r="AT65" s="151">
        <f t="shared" si="49"/>
        <v>0.9456956057688698</v>
      </c>
      <c r="AU65" s="151">
        <f t="shared" si="49"/>
        <v>0.95155179019966785</v>
      </c>
      <c r="AV65" s="151">
        <f t="shared" si="49"/>
        <v>0.96826859350500294</v>
      </c>
      <c r="AW65" s="152">
        <f t="shared" si="49"/>
        <v>0.95366924148008514</v>
      </c>
      <c r="AX65" s="151">
        <f t="shared" si="49"/>
        <v>1.0135704408980335</v>
      </c>
      <c r="AY65" s="151">
        <f t="shared" si="49"/>
        <v>0.96649968720311363</v>
      </c>
      <c r="AZ65" s="151">
        <f t="shared" si="49"/>
        <v>0.92747973357267055</v>
      </c>
      <c r="BA65" s="152">
        <f t="shared" si="49"/>
        <v>0.91877708654705215</v>
      </c>
      <c r="BB65" s="151">
        <f t="shared" si="49"/>
        <v>0.84455191041883848</v>
      </c>
      <c r="BC65" s="151">
        <f t="shared" si="49"/>
        <v>0.8939604223172074</v>
      </c>
      <c r="BD65" s="151">
        <f t="shared" si="49"/>
        <v>0.87217931758938649</v>
      </c>
      <c r="BE65" s="152">
        <f t="shared" si="49"/>
        <v>0.94307043482476127</v>
      </c>
      <c r="BF65" s="151">
        <f t="shared" si="49"/>
        <v>0.77901397120914384</v>
      </c>
      <c r="BG65" s="151">
        <f t="shared" si="49"/>
        <v>0.67671012428371047</v>
      </c>
      <c r="BH65" s="151">
        <f t="shared" si="49"/>
        <v>0.76623343837962254</v>
      </c>
      <c r="BI65" s="152">
        <f t="shared" si="49"/>
        <v>0.73167156471125305</v>
      </c>
      <c r="BJ65" s="151">
        <f t="shared" si="49"/>
        <v>0.71096457772960231</v>
      </c>
      <c r="BK65" s="151">
        <f t="shared" si="49"/>
        <v>0.7458194096351991</v>
      </c>
      <c r="BL65" s="151">
        <f>-(BL9+BL13+BL14+BL15)/(BL22)</f>
        <v>0.70669776861596323</v>
      </c>
      <c r="BM65" s="152">
        <f>-(BM9+BM13+BM14+BM15)/(BM22)</f>
        <v>0.72383972232280636</v>
      </c>
      <c r="BN65" s="151">
        <f t="shared" ref="BN65:BS65" si="50">-(BN9+BN13+BN14+BN15)/(BN22)</f>
        <v>1.034501286624949</v>
      </c>
      <c r="BO65" s="151">
        <f t="shared" si="50"/>
        <v>0.87283852824484498</v>
      </c>
      <c r="BP65" s="151">
        <f t="shared" si="50"/>
        <v>0.88856811278583314</v>
      </c>
      <c r="BQ65" s="152">
        <f t="shared" si="50"/>
        <v>0.79674137755736052</v>
      </c>
      <c r="BR65" s="151">
        <f t="shared" si="50"/>
        <v>1.1982413347670149</v>
      </c>
      <c r="BS65" s="152">
        <f t="shared" si="50"/>
        <v>1.28187609146426</v>
      </c>
      <c r="BT65" s="151"/>
      <c r="BU65" s="152">
        <f t="shared" ref="BU65:CG65" si="51">-(BU9+BU13+BU14+BU15)/(BU22)</f>
        <v>0.48983660961607939</v>
      </c>
      <c r="BV65" s="152">
        <f t="shared" si="51"/>
        <v>0.61936780233664901</v>
      </c>
      <c r="BW65" s="152">
        <f t="shared" si="51"/>
        <v>0.73989651916446275</v>
      </c>
      <c r="BX65" s="152">
        <f t="shared" si="51"/>
        <v>0.74850948509485093</v>
      </c>
      <c r="BY65" s="152">
        <f t="shared" si="51"/>
        <v>0.75951864273032155</v>
      </c>
      <c r="BZ65" s="152">
        <f t="shared" si="51"/>
        <v>0.63271189698251018</v>
      </c>
      <c r="CA65" s="152">
        <f t="shared" si="51"/>
        <v>0.62436396288536355</v>
      </c>
      <c r="CB65" s="152">
        <f t="shared" si="51"/>
        <v>0.71513484350970458</v>
      </c>
      <c r="CC65" s="152">
        <f t="shared" si="51"/>
        <v>0.9422830407820213</v>
      </c>
      <c r="CD65" s="152">
        <f t="shared" si="51"/>
        <v>0.91960706744736498</v>
      </c>
      <c r="CE65" s="152">
        <f t="shared" si="51"/>
        <v>0.95255193440288599</v>
      </c>
      <c r="CF65" s="152">
        <f t="shared" si="51"/>
        <v>0.95477083614326863</v>
      </c>
      <c r="CG65" s="152">
        <f t="shared" si="51"/>
        <v>0.95575128370513129</v>
      </c>
      <c r="CH65" s="152">
        <f>-(CH9+CH13+CH14+CH15)/(CH22)</f>
        <v>0.88827450317569845</v>
      </c>
      <c r="CI65" s="152">
        <f>-(CI9+CI13+CI14+CI15)/(CI22)</f>
        <v>0.73634666214485323</v>
      </c>
      <c r="CJ65" s="152">
        <f>-(CJ9+CJ13+CJ14+CJ15)/(CJ22)</f>
        <v>0.72189480184153654</v>
      </c>
      <c r="CK65" s="152">
        <f>-(CK9+CK13+CK14+CK15)/(CK22)</f>
        <v>0.89096284850172391</v>
      </c>
    </row>
    <row r="66" spans="1:89" x14ac:dyDescent="0.15">
      <c r="A66" s="53"/>
      <c r="B66" s="45"/>
      <c r="C66" s="53"/>
      <c r="D66" s="45"/>
      <c r="E66" s="74"/>
      <c r="F66" s="45"/>
      <c r="G66" s="53"/>
      <c r="H66" s="45"/>
      <c r="I66" s="74"/>
      <c r="J66" s="45"/>
      <c r="K66" s="53"/>
      <c r="L66" s="45"/>
      <c r="M66" s="74"/>
      <c r="N66" s="123"/>
      <c r="O66" s="53"/>
      <c r="P66" s="123"/>
      <c r="Q66" s="74"/>
      <c r="R66" s="123"/>
      <c r="S66" s="53"/>
      <c r="T66" s="123"/>
      <c r="U66" s="74"/>
      <c r="V66" s="53"/>
      <c r="W66" s="53"/>
      <c r="X66" s="53"/>
      <c r="Y66" s="74"/>
      <c r="Z66" s="53"/>
      <c r="AA66" s="53"/>
      <c r="AB66" s="53"/>
      <c r="AC66" s="74"/>
      <c r="AD66" s="53"/>
      <c r="AE66" s="53"/>
      <c r="AF66" s="53"/>
      <c r="AG66" s="74"/>
      <c r="AH66" s="53"/>
      <c r="AI66" s="53"/>
      <c r="AJ66" s="53"/>
      <c r="AK66" s="74"/>
      <c r="AL66" s="53"/>
      <c r="AM66" s="53"/>
      <c r="AN66" s="53"/>
      <c r="AO66" s="74"/>
      <c r="AP66" s="53"/>
      <c r="AR66" s="53"/>
      <c r="AS66" s="74"/>
      <c r="AT66" s="53"/>
      <c r="AV66" s="53"/>
      <c r="AW66" s="74"/>
      <c r="AY66" s="35"/>
      <c r="AZ66" s="35"/>
      <c r="BA66" s="36"/>
      <c r="BB66" s="35"/>
      <c r="BE66" s="36"/>
      <c r="BG66" s="33"/>
      <c r="BI66" s="36"/>
      <c r="BK66" s="33"/>
      <c r="BM66" s="36"/>
      <c r="BO66" s="33"/>
      <c r="BQ66" s="36"/>
      <c r="BS66" s="36"/>
      <c r="BT66" s="53"/>
      <c r="BU66" s="124"/>
      <c r="BV66" s="124"/>
      <c r="BW66" s="37"/>
      <c r="BX66" s="124"/>
      <c r="BY66" s="37"/>
      <c r="BZ66" s="124"/>
      <c r="CA66" s="37"/>
      <c r="CB66" s="124"/>
      <c r="CC66" s="34"/>
      <c r="CD66" s="74"/>
      <c r="CE66" s="34"/>
      <c r="CF66" s="34"/>
      <c r="CG66" s="34"/>
      <c r="CH66" s="36"/>
      <c r="CI66" s="36"/>
      <c r="CJ66" s="36"/>
      <c r="CK66" s="36"/>
    </row>
    <row r="67" spans="1:89" x14ac:dyDescent="0.15">
      <c r="A67" s="38" t="s">
        <v>68</v>
      </c>
      <c r="B67" s="45"/>
      <c r="C67" s="38"/>
      <c r="D67" s="45"/>
      <c r="E67" s="39"/>
      <c r="F67" s="45"/>
      <c r="G67" s="38"/>
      <c r="H67" s="45"/>
      <c r="I67" s="39"/>
      <c r="J67" s="45"/>
      <c r="K67" s="38"/>
      <c r="L67" s="45"/>
      <c r="M67" s="39"/>
      <c r="N67" s="123"/>
      <c r="O67" s="38"/>
      <c r="P67" s="123"/>
      <c r="Q67" s="39"/>
      <c r="R67" s="123"/>
      <c r="S67" s="38"/>
      <c r="T67" s="123"/>
      <c r="U67" s="39"/>
      <c r="V67" s="38"/>
      <c r="W67" s="38"/>
      <c r="X67" s="38"/>
      <c r="Y67" s="39"/>
      <c r="Z67" s="38"/>
      <c r="AA67" s="38"/>
      <c r="AB67" s="38"/>
      <c r="AC67" s="39"/>
      <c r="AD67" s="38"/>
      <c r="AE67" s="38"/>
      <c r="AF67" s="38"/>
      <c r="AG67" s="39"/>
      <c r="AH67" s="38"/>
      <c r="AI67" s="38"/>
      <c r="AJ67" s="38"/>
      <c r="AK67" s="39"/>
      <c r="AL67" s="38"/>
      <c r="AM67" s="38"/>
      <c r="AN67" s="38"/>
      <c r="AO67" s="39"/>
      <c r="AP67" s="38"/>
      <c r="AR67" s="38"/>
      <c r="AS67" s="39"/>
      <c r="AT67" s="38"/>
      <c r="AV67" s="38"/>
      <c r="AW67" s="39"/>
      <c r="AY67" s="35"/>
      <c r="AZ67" s="35"/>
      <c r="BA67" s="36"/>
      <c r="BB67" s="35"/>
      <c r="BE67" s="36"/>
      <c r="BG67" s="33"/>
      <c r="BI67" s="36"/>
      <c r="BK67" s="33"/>
      <c r="BM67" s="36"/>
      <c r="BO67" s="33"/>
      <c r="BQ67" s="36"/>
      <c r="BS67" s="36"/>
      <c r="BT67" s="38"/>
      <c r="BU67" s="40"/>
      <c r="BV67" s="40"/>
      <c r="BW67" s="37"/>
      <c r="BX67" s="40"/>
      <c r="BY67" s="37"/>
      <c r="BZ67" s="40"/>
      <c r="CA67" s="37"/>
      <c r="CB67" s="40"/>
      <c r="CC67" s="34"/>
      <c r="CD67" s="39"/>
      <c r="CE67" s="34"/>
      <c r="CF67" s="34"/>
      <c r="CG67" s="34"/>
      <c r="CH67" s="36"/>
      <c r="CI67" s="36"/>
      <c r="CJ67" s="36"/>
      <c r="CK67" s="36"/>
    </row>
    <row r="68" spans="1:89" x14ac:dyDescent="0.15">
      <c r="A68" s="53" t="s">
        <v>69</v>
      </c>
      <c r="B68" s="154">
        <v>0</v>
      </c>
      <c r="C68" s="53">
        <v>0</v>
      </c>
      <c r="D68" s="154">
        <v>0</v>
      </c>
      <c r="E68" s="74">
        <v>0</v>
      </c>
      <c r="F68" s="18">
        <v>86</v>
      </c>
      <c r="G68" s="53">
        <v>93</v>
      </c>
      <c r="H68" s="18">
        <v>97</v>
      </c>
      <c r="I68" s="74">
        <v>119</v>
      </c>
      <c r="J68" s="18">
        <v>123</v>
      </c>
      <c r="K68" s="53">
        <v>135</v>
      </c>
      <c r="L68" s="18">
        <v>141</v>
      </c>
      <c r="M68" s="74">
        <v>164</v>
      </c>
      <c r="N68" s="18">
        <v>181</v>
      </c>
      <c r="O68" s="53">
        <v>197</v>
      </c>
      <c r="P68" s="18">
        <v>224</v>
      </c>
      <c r="Q68" s="74">
        <v>238</v>
      </c>
      <c r="R68" s="18">
        <v>248</v>
      </c>
      <c r="S68" s="53">
        <v>259</v>
      </c>
      <c r="T68" s="18">
        <v>284</v>
      </c>
      <c r="U68" s="74">
        <v>326</v>
      </c>
      <c r="V68" s="53">
        <v>323</v>
      </c>
      <c r="W68" s="53">
        <v>259</v>
      </c>
      <c r="X68" s="53">
        <v>262</v>
      </c>
      <c r="Y68" s="74">
        <v>260</v>
      </c>
      <c r="Z68" s="53">
        <v>269</v>
      </c>
      <c r="AA68" s="53">
        <v>272</v>
      </c>
      <c r="AB68" s="53">
        <v>408</v>
      </c>
      <c r="AC68" s="74">
        <v>353</v>
      </c>
      <c r="AD68" s="53">
        <v>353</v>
      </c>
      <c r="AE68" s="53">
        <v>360</v>
      </c>
      <c r="AF68" s="53">
        <v>357</v>
      </c>
      <c r="AG68" s="74">
        <v>352</v>
      </c>
      <c r="AH68" s="53">
        <v>358</v>
      </c>
      <c r="AI68" s="53">
        <v>336</v>
      </c>
      <c r="AJ68" s="53">
        <v>336</v>
      </c>
      <c r="AK68" s="74">
        <v>330</v>
      </c>
      <c r="AL68" s="53">
        <v>335</v>
      </c>
      <c r="AM68" s="53">
        <v>333</v>
      </c>
      <c r="AN68" s="53">
        <v>343</v>
      </c>
      <c r="AO68" s="74">
        <v>329</v>
      </c>
      <c r="AP68" s="53">
        <v>327</v>
      </c>
      <c r="AQ68" s="33">
        <v>327</v>
      </c>
      <c r="AR68" s="53">
        <v>324</v>
      </c>
      <c r="AS68" s="74">
        <v>330</v>
      </c>
      <c r="AT68" s="53">
        <v>343</v>
      </c>
      <c r="AU68" s="33">
        <v>356</v>
      </c>
      <c r="AV68" s="53">
        <v>373</v>
      </c>
      <c r="AW68" s="74">
        <v>385</v>
      </c>
      <c r="AX68" s="33">
        <v>390</v>
      </c>
      <c r="AY68" s="33">
        <v>401</v>
      </c>
      <c r="AZ68" s="33">
        <v>420</v>
      </c>
      <c r="BA68" s="34">
        <v>427</v>
      </c>
      <c r="BB68" s="33">
        <v>433</v>
      </c>
      <c r="BC68" s="33">
        <v>431</v>
      </c>
      <c r="BD68" s="33">
        <v>440</v>
      </c>
      <c r="BE68" s="34">
        <v>418</v>
      </c>
      <c r="BF68" s="33">
        <v>428</v>
      </c>
      <c r="BG68" s="33">
        <v>435</v>
      </c>
      <c r="BH68" s="33">
        <v>451</v>
      </c>
      <c r="BI68" s="34">
        <v>474</v>
      </c>
      <c r="BJ68" s="33">
        <v>508</v>
      </c>
      <c r="BK68" s="33">
        <v>531</v>
      </c>
      <c r="BL68" s="33">
        <v>535</v>
      </c>
      <c r="BM68" s="34">
        <v>523</v>
      </c>
      <c r="BN68" s="33">
        <v>494</v>
      </c>
      <c r="BO68" s="33">
        <v>496</v>
      </c>
      <c r="BP68" s="33">
        <v>507</v>
      </c>
      <c r="BQ68" s="34">
        <v>497</v>
      </c>
      <c r="BR68" s="49">
        <v>510</v>
      </c>
      <c r="BS68" s="34">
        <v>543</v>
      </c>
      <c r="BT68" s="76"/>
      <c r="BU68" s="77">
        <f>+E68</f>
        <v>0</v>
      </c>
      <c r="BV68" s="77">
        <f>+I68</f>
        <v>119</v>
      </c>
      <c r="BW68" s="78">
        <f>+M68</f>
        <v>164</v>
      </c>
      <c r="BX68" s="77">
        <f>+Q68</f>
        <v>238</v>
      </c>
      <c r="BY68" s="78">
        <f>+U68</f>
        <v>326</v>
      </c>
      <c r="BZ68" s="77">
        <f>+Y68</f>
        <v>260</v>
      </c>
      <c r="CA68" s="78">
        <f>+AC68</f>
        <v>353</v>
      </c>
      <c r="CB68" s="77">
        <f>+AG68</f>
        <v>352</v>
      </c>
      <c r="CC68" s="79">
        <f>+AK68</f>
        <v>330</v>
      </c>
      <c r="CD68" s="80">
        <f>+AO68</f>
        <v>329</v>
      </c>
      <c r="CE68" s="79">
        <f>+AS68</f>
        <v>330</v>
      </c>
      <c r="CF68" s="79">
        <f>+AW68</f>
        <v>385</v>
      </c>
      <c r="CG68" s="79">
        <f>+BA68</f>
        <v>427</v>
      </c>
      <c r="CH68" s="79">
        <f>+BE68</f>
        <v>418</v>
      </c>
      <c r="CI68" s="79">
        <f>+BI68</f>
        <v>474</v>
      </c>
      <c r="CJ68" s="79">
        <f>+BM68</f>
        <v>523</v>
      </c>
      <c r="CK68" s="79">
        <f>+BQ68</f>
        <v>497</v>
      </c>
    </row>
    <row r="69" spans="1:89" ht="13.5" customHeight="1" x14ac:dyDescent="0.15">
      <c r="A69" s="53"/>
      <c r="B69" s="45"/>
      <c r="C69" s="53"/>
      <c r="D69" s="45"/>
      <c r="E69" s="74"/>
      <c r="F69" s="45"/>
      <c r="G69" s="53"/>
      <c r="H69" s="45"/>
      <c r="I69" s="74"/>
      <c r="J69" s="45"/>
      <c r="K69" s="53"/>
      <c r="L69" s="45"/>
      <c r="M69" s="74"/>
      <c r="N69" s="123"/>
      <c r="O69" s="53"/>
      <c r="P69" s="123"/>
      <c r="Q69" s="74"/>
      <c r="R69" s="123"/>
      <c r="S69" s="53"/>
      <c r="T69" s="123"/>
      <c r="U69" s="74"/>
      <c r="V69" s="53"/>
      <c r="W69" s="53"/>
      <c r="X69" s="53"/>
      <c r="Y69" s="74"/>
      <c r="Z69" s="53"/>
      <c r="AA69" s="53"/>
      <c r="AB69" s="53"/>
      <c r="AC69" s="74"/>
      <c r="AD69" s="53"/>
      <c r="AE69" s="53"/>
      <c r="AF69" s="53"/>
      <c r="AG69" s="74"/>
      <c r="AH69" s="53"/>
      <c r="AI69" s="53"/>
      <c r="AJ69" s="53"/>
      <c r="AK69" s="74"/>
      <c r="AL69" s="53"/>
      <c r="AM69" s="53"/>
      <c r="AN69" s="53"/>
      <c r="AO69" s="74"/>
      <c r="AP69" s="53"/>
      <c r="AR69" s="53"/>
      <c r="AS69" s="74"/>
      <c r="AT69" s="53"/>
      <c r="AV69" s="53"/>
      <c r="AW69" s="74"/>
      <c r="AY69" s="35"/>
      <c r="AZ69" s="35"/>
      <c r="BA69" s="36"/>
      <c r="BB69" s="35"/>
      <c r="BE69" s="36"/>
      <c r="BF69" s="33"/>
      <c r="BG69" s="75"/>
      <c r="BI69" s="36"/>
      <c r="BJ69" s="33"/>
      <c r="BK69" s="75"/>
      <c r="BM69" s="36"/>
      <c r="BN69" s="33"/>
      <c r="BO69" s="75"/>
      <c r="BQ69" s="36"/>
      <c r="BS69" s="36"/>
      <c r="BT69" s="53"/>
      <c r="BU69" s="124"/>
      <c r="BV69" s="124"/>
      <c r="BW69" s="37"/>
      <c r="BX69" s="124"/>
      <c r="BY69" s="37"/>
      <c r="BZ69" s="124"/>
      <c r="CA69" s="37"/>
      <c r="CB69" s="124"/>
      <c r="CC69" s="34"/>
      <c r="CD69" s="74"/>
      <c r="CE69" s="34"/>
      <c r="CF69" s="34"/>
      <c r="CG69" s="34"/>
      <c r="CH69" s="36"/>
      <c r="CI69" s="36"/>
      <c r="CJ69" s="36"/>
      <c r="CK69" s="36"/>
    </row>
    <row r="70" spans="1:89" x14ac:dyDescent="0.15">
      <c r="A70" s="38" t="s">
        <v>58</v>
      </c>
      <c r="B70" s="45"/>
      <c r="C70" s="38"/>
      <c r="D70" s="45"/>
      <c r="E70" s="39"/>
      <c r="F70" s="45"/>
      <c r="G70" s="38"/>
      <c r="H70" s="45"/>
      <c r="I70" s="39"/>
      <c r="J70" s="45"/>
      <c r="K70" s="38"/>
      <c r="L70" s="45"/>
      <c r="M70" s="39"/>
      <c r="N70" s="123"/>
      <c r="O70" s="38"/>
      <c r="P70" s="123"/>
      <c r="Q70" s="39"/>
      <c r="R70" s="123"/>
      <c r="S70" s="38"/>
      <c r="T70" s="123"/>
      <c r="U70" s="39"/>
      <c r="V70" s="38"/>
      <c r="W70" s="38"/>
      <c r="X70" s="38"/>
      <c r="Y70" s="39"/>
      <c r="Z70" s="38"/>
      <c r="AA70" s="38"/>
      <c r="AB70" s="38"/>
      <c r="AC70" s="39"/>
      <c r="AD70" s="38"/>
      <c r="AE70" s="38"/>
      <c r="AF70" s="38"/>
      <c r="AG70" s="39"/>
      <c r="AH70" s="38"/>
      <c r="AI70" s="38"/>
      <c r="AJ70" s="38"/>
      <c r="AK70" s="39"/>
      <c r="AL70" s="38"/>
      <c r="AM70" s="38"/>
      <c r="AN70" s="38"/>
      <c r="AO70" s="39"/>
      <c r="AP70" s="38"/>
      <c r="AR70" s="38"/>
      <c r="AS70" s="39"/>
      <c r="AT70" s="38"/>
      <c r="AV70" s="38"/>
      <c r="AW70" s="39"/>
      <c r="AY70" s="35"/>
      <c r="AZ70" s="35"/>
      <c r="BA70" s="36"/>
      <c r="BB70" s="35"/>
      <c r="BE70" s="36"/>
      <c r="BF70" s="33"/>
      <c r="BG70" s="75"/>
      <c r="BI70" s="36"/>
      <c r="BJ70" s="33"/>
      <c r="BK70" s="75"/>
      <c r="BM70" s="36"/>
      <c r="BN70" s="33"/>
      <c r="BO70" s="75"/>
      <c r="BQ70" s="36"/>
      <c r="BS70" s="36"/>
      <c r="BT70" s="38"/>
      <c r="BU70" s="40"/>
      <c r="BV70" s="40"/>
      <c r="BW70" s="37"/>
      <c r="BX70" s="40"/>
      <c r="BY70" s="37"/>
      <c r="BZ70" s="40"/>
      <c r="CA70" s="37"/>
      <c r="CB70" s="40"/>
      <c r="CC70" s="34"/>
      <c r="CD70" s="39"/>
      <c r="CE70" s="34"/>
      <c r="CF70" s="34"/>
      <c r="CG70" s="34"/>
      <c r="CH70" s="36"/>
      <c r="CI70" s="36"/>
      <c r="CJ70" s="36"/>
      <c r="CK70" s="36"/>
    </row>
    <row r="71" spans="1:89" x14ac:dyDescent="0.15">
      <c r="A71" s="53" t="s">
        <v>164</v>
      </c>
      <c r="B71" s="155">
        <v>0.04</v>
      </c>
      <c r="C71" s="155">
        <v>0.04</v>
      </c>
      <c r="D71" s="155">
        <v>0.12</v>
      </c>
      <c r="E71" s="156">
        <v>0.16</v>
      </c>
      <c r="F71" s="155">
        <f t="shared" ref="F71:BQ71" si="52">SUM(C28:F28)/AVERAGE(B76:F76)</f>
        <v>0.35121092731381098</v>
      </c>
      <c r="G71" s="155">
        <f t="shared" si="52"/>
        <v>0.38666243398574879</v>
      </c>
      <c r="H71" s="155">
        <f t="shared" si="52"/>
        <v>0.33056804890694891</v>
      </c>
      <c r="I71" s="156">
        <f t="shared" si="52"/>
        <v>0.31113824516952571</v>
      </c>
      <c r="J71" s="155">
        <f t="shared" si="52"/>
        <v>0.23358539673607198</v>
      </c>
      <c r="K71" s="155">
        <f t="shared" si="52"/>
        <v>0.24164377575227866</v>
      </c>
      <c r="L71" s="155">
        <f t="shared" si="52"/>
        <v>0.31414448460948635</v>
      </c>
      <c r="M71" s="156">
        <f t="shared" si="52"/>
        <v>0.34802455570418511</v>
      </c>
      <c r="N71" s="155">
        <f t="shared" si="52"/>
        <v>0.4002678494900147</v>
      </c>
      <c r="O71" s="155">
        <f t="shared" si="52"/>
        <v>0.42970734720667164</v>
      </c>
      <c r="P71" s="155">
        <f t="shared" si="52"/>
        <v>0.37882529059528014</v>
      </c>
      <c r="Q71" s="156">
        <f t="shared" si="52"/>
        <v>0.33715012722646304</v>
      </c>
      <c r="R71" s="155">
        <f t="shared" si="52"/>
        <v>0.31537767077941614</v>
      </c>
      <c r="S71" s="155">
        <f t="shared" si="52"/>
        <v>0.29123430602533962</v>
      </c>
      <c r="T71" s="155">
        <f t="shared" si="52"/>
        <v>0.30439515580351068</v>
      </c>
      <c r="U71" s="156">
        <f t="shared" si="52"/>
        <v>0.25608578808672744</v>
      </c>
      <c r="V71" s="155">
        <f t="shared" si="52"/>
        <v>0.20680746463328989</v>
      </c>
      <c r="W71" s="155">
        <f t="shared" si="52"/>
        <v>0.17237938432370412</v>
      </c>
      <c r="X71" s="155">
        <f t="shared" si="52"/>
        <v>0.15333008050744093</v>
      </c>
      <c r="Y71" s="156">
        <f t="shared" si="52"/>
        <v>0.16699268275012688</v>
      </c>
      <c r="Z71" s="155">
        <f t="shared" si="52"/>
        <v>0.14853828855485862</v>
      </c>
      <c r="AA71" s="155">
        <f t="shared" si="52"/>
        <v>0.16841732562256589</v>
      </c>
      <c r="AB71" s="155">
        <f t="shared" si="52"/>
        <v>0.2294276813933924</v>
      </c>
      <c r="AC71" s="156">
        <f t="shared" si="52"/>
        <v>0.22114171344036904</v>
      </c>
      <c r="AD71" s="155">
        <f t="shared" si="52"/>
        <v>0.24018557430253609</v>
      </c>
      <c r="AE71" s="155">
        <f t="shared" si="52"/>
        <v>0.24419763633774735</v>
      </c>
      <c r="AF71" s="155">
        <f t="shared" si="52"/>
        <v>0.14941459395240098</v>
      </c>
      <c r="AG71" s="156">
        <f t="shared" si="52"/>
        <v>0.18586338450358791</v>
      </c>
      <c r="AH71" s="155">
        <f t="shared" si="52"/>
        <v>0.19931419181873214</v>
      </c>
      <c r="AI71" s="155">
        <f t="shared" si="52"/>
        <v>0.19218124428939282</v>
      </c>
      <c r="AJ71" s="155">
        <f t="shared" si="52"/>
        <v>0.22645809916323212</v>
      </c>
      <c r="AK71" s="156">
        <f t="shared" si="52"/>
        <v>0.20232662661612905</v>
      </c>
      <c r="AL71" s="155">
        <f t="shared" si="52"/>
        <v>0.18999279953917053</v>
      </c>
      <c r="AM71" s="155">
        <f t="shared" si="52"/>
        <v>0.17653901672751976</v>
      </c>
      <c r="AN71" s="155">
        <f t="shared" si="52"/>
        <v>0.13421893810452909</v>
      </c>
      <c r="AO71" s="156">
        <f t="shared" si="52"/>
        <v>0.12853760748884291</v>
      </c>
      <c r="AP71" s="155">
        <f t="shared" si="52"/>
        <v>0.1160426663815112</v>
      </c>
      <c r="AQ71" s="155">
        <f t="shared" si="52"/>
        <v>0.12544682902012236</v>
      </c>
      <c r="AR71" s="155">
        <f t="shared" si="52"/>
        <v>0.14714183168160289</v>
      </c>
      <c r="AS71" s="156">
        <f t="shared" si="52"/>
        <v>0.15084758352423291</v>
      </c>
      <c r="AT71" s="155">
        <f t="shared" si="52"/>
        <v>0.16028844978364762</v>
      </c>
      <c r="AU71" s="155">
        <f t="shared" si="52"/>
        <v>0.16112750979841695</v>
      </c>
      <c r="AV71" s="155">
        <f t="shared" si="52"/>
        <v>0.15886990891435762</v>
      </c>
      <c r="AW71" s="156">
        <f t="shared" si="52"/>
        <v>0.16505355183435905</v>
      </c>
      <c r="AX71" s="155">
        <f t="shared" si="52"/>
        <v>0.17824623704580531</v>
      </c>
      <c r="AY71" s="155">
        <f t="shared" si="52"/>
        <v>0.19317110099165524</v>
      </c>
      <c r="AZ71" s="155">
        <f t="shared" si="52"/>
        <v>0.19752450648235981</v>
      </c>
      <c r="BA71" s="156">
        <f t="shared" si="52"/>
        <v>0.1973350057466183</v>
      </c>
      <c r="BB71" s="155">
        <f t="shared" si="52"/>
        <v>0.17318600229045569</v>
      </c>
      <c r="BC71" s="155">
        <f t="shared" si="52"/>
        <v>0.16467889908256886</v>
      </c>
      <c r="BD71" s="155">
        <f t="shared" si="52"/>
        <v>0.15860841251201027</v>
      </c>
      <c r="BE71" s="156">
        <f t="shared" si="52"/>
        <v>0.15591656343824148</v>
      </c>
      <c r="BF71" s="155">
        <f t="shared" si="52"/>
        <v>0.14361299881981857</v>
      </c>
      <c r="BG71" s="155">
        <f t="shared" si="52"/>
        <v>0.11501624803651277</v>
      </c>
      <c r="BH71" s="155">
        <f t="shared" si="52"/>
        <v>9.99062240425867E-2</v>
      </c>
      <c r="BI71" s="156">
        <f t="shared" si="52"/>
        <v>8.0577830875784837E-2</v>
      </c>
      <c r="BJ71" s="155">
        <f t="shared" si="52"/>
        <v>6.8238616008666902E-2</v>
      </c>
      <c r="BK71" s="155">
        <f t="shared" si="52"/>
        <v>7.436068290607753E-2</v>
      </c>
      <c r="BL71" s="155">
        <f t="shared" si="52"/>
        <v>6.5734120608001406E-2</v>
      </c>
      <c r="BM71" s="156">
        <f t="shared" si="52"/>
        <v>5.9220456290274739E-2</v>
      </c>
      <c r="BN71" s="155">
        <f t="shared" si="52"/>
        <v>9.786523131941248E-2</v>
      </c>
      <c r="BO71" s="155">
        <f t="shared" si="52"/>
        <v>0.11045464082965614</v>
      </c>
      <c r="BP71" s="155">
        <f t="shared" si="52"/>
        <v>0.12286299805522147</v>
      </c>
      <c r="BQ71" s="156">
        <f t="shared" si="52"/>
        <v>0.12466926257507277</v>
      </c>
      <c r="BR71" s="157">
        <f>SUM(BO28:BR28)/AVERAGE(BN76:BR76)</f>
        <v>0.17489171286129301</v>
      </c>
      <c r="BS71" s="156">
        <f>SUM(BP28:BS28)/AVERAGE(BO76:BS76)</f>
        <v>0.23596017095820832</v>
      </c>
      <c r="BT71" s="157"/>
      <c r="BU71" s="158">
        <f>+BU28/((BU76+161.103)/2)</f>
        <v>0.16458459188674723</v>
      </c>
      <c r="BV71" s="158">
        <v>0.3</v>
      </c>
      <c r="BW71" s="158">
        <f t="shared" ref="BW71:CI71" si="53">+BW28/((BW76+BV76)/2)</f>
        <v>0.34045332398644701</v>
      </c>
      <c r="BX71" s="158">
        <f t="shared" si="53"/>
        <v>0.34284292585835113</v>
      </c>
      <c r="BY71" s="158">
        <f t="shared" si="53"/>
        <v>0.26114141279765885</v>
      </c>
      <c r="BZ71" s="158">
        <f t="shared" si="53"/>
        <v>0.16623595167978886</v>
      </c>
      <c r="CA71" s="158">
        <f t="shared" si="53"/>
        <v>0.21532595456230452</v>
      </c>
      <c r="CB71" s="158">
        <f t="shared" si="53"/>
        <v>0.17968562019758499</v>
      </c>
      <c r="CC71" s="156">
        <f t="shared" si="53"/>
        <v>0.20229328939484723</v>
      </c>
      <c r="CD71" s="156">
        <f t="shared" si="53"/>
        <v>0.12838650494343082</v>
      </c>
      <c r="CE71" s="156">
        <f t="shared" si="53"/>
        <v>0.14904121806714651</v>
      </c>
      <c r="CF71" s="156">
        <f t="shared" si="53"/>
        <v>0.16394195172515924</v>
      </c>
      <c r="CG71" s="156">
        <f t="shared" si="53"/>
        <v>0.19703125431022595</v>
      </c>
      <c r="CH71" s="156">
        <f t="shared" si="53"/>
        <v>0.15419346466298128</v>
      </c>
      <c r="CI71" s="156">
        <f t="shared" si="53"/>
        <v>8.359224918466189E-2</v>
      </c>
      <c r="CJ71" s="156">
        <f>+CJ28/((CI76+CJ76)/2)</f>
        <v>5.8836370378270726E-2</v>
      </c>
      <c r="CK71" s="156">
        <f>+CK28/((CJ76+CK76)/2)</f>
        <v>0.13455909121266046</v>
      </c>
    </row>
    <row r="72" spans="1:89" x14ac:dyDescent="0.15">
      <c r="A72" s="53" t="s">
        <v>165</v>
      </c>
      <c r="B72" s="159">
        <v>21</v>
      </c>
      <c r="C72" s="160">
        <v>20</v>
      </c>
      <c r="D72" s="159">
        <v>14</v>
      </c>
      <c r="E72" s="161">
        <v>16</v>
      </c>
      <c r="F72" s="159">
        <v>0</v>
      </c>
      <c r="G72" s="160">
        <v>12</v>
      </c>
      <c r="H72" s="159">
        <v>13</v>
      </c>
      <c r="I72" s="161">
        <v>11</v>
      </c>
      <c r="J72" s="159">
        <v>10</v>
      </c>
      <c r="K72" s="160">
        <v>9</v>
      </c>
      <c r="L72" s="159">
        <v>10.5</v>
      </c>
      <c r="M72" s="161">
        <v>10.9</v>
      </c>
      <c r="N72" s="123">
        <v>11.4</v>
      </c>
      <c r="O72" s="160">
        <v>12.5</v>
      </c>
      <c r="P72" s="123">
        <v>11.5</v>
      </c>
      <c r="Q72" s="161">
        <v>10.3</v>
      </c>
      <c r="R72" s="123" t="s">
        <v>166</v>
      </c>
      <c r="S72" s="160" t="s">
        <v>166</v>
      </c>
      <c r="T72" s="123" t="s">
        <v>166</v>
      </c>
      <c r="U72" s="161" t="s">
        <v>166</v>
      </c>
      <c r="V72" s="123" t="s">
        <v>166</v>
      </c>
      <c r="W72" s="160" t="s">
        <v>166</v>
      </c>
      <c r="X72" s="123" t="s">
        <v>166</v>
      </c>
      <c r="Y72" s="161" t="s">
        <v>166</v>
      </c>
      <c r="Z72" s="123" t="s">
        <v>166</v>
      </c>
      <c r="AA72" s="160" t="s">
        <v>166</v>
      </c>
      <c r="AB72" s="123" t="s">
        <v>166</v>
      </c>
      <c r="AC72" s="161" t="s">
        <v>166</v>
      </c>
      <c r="AD72" s="123" t="s">
        <v>166</v>
      </c>
      <c r="AE72" s="160" t="s">
        <v>166</v>
      </c>
      <c r="AF72" s="123" t="s">
        <v>166</v>
      </c>
      <c r="AG72" s="161" t="s">
        <v>166</v>
      </c>
      <c r="AH72" s="123" t="s">
        <v>166</v>
      </c>
      <c r="AI72" s="123" t="s">
        <v>166</v>
      </c>
      <c r="AJ72" s="123" t="s">
        <v>166</v>
      </c>
      <c r="AK72" s="161" t="s">
        <v>166</v>
      </c>
      <c r="AL72" s="123" t="s">
        <v>166</v>
      </c>
      <c r="AM72" s="123" t="s">
        <v>166</v>
      </c>
      <c r="AN72" s="123" t="s">
        <v>166</v>
      </c>
      <c r="AO72" s="161" t="s">
        <v>166</v>
      </c>
      <c r="AP72" s="123" t="s">
        <v>166</v>
      </c>
      <c r="AQ72" s="123" t="s">
        <v>166</v>
      </c>
      <c r="AR72" s="123" t="s">
        <v>166</v>
      </c>
      <c r="AS72" s="161" t="s">
        <v>166</v>
      </c>
      <c r="AT72" s="123" t="s">
        <v>166</v>
      </c>
      <c r="AU72" s="123" t="s">
        <v>166</v>
      </c>
      <c r="AV72" s="123" t="s">
        <v>166</v>
      </c>
      <c r="AW72" s="162" t="s">
        <v>166</v>
      </c>
      <c r="AX72" s="123" t="s">
        <v>166</v>
      </c>
      <c r="AY72" s="123" t="s">
        <v>166</v>
      </c>
      <c r="AZ72" s="123" t="s">
        <v>166</v>
      </c>
      <c r="BA72" s="163" t="s">
        <v>166</v>
      </c>
      <c r="BB72" s="123" t="s">
        <v>166</v>
      </c>
      <c r="BC72" s="123" t="s">
        <v>166</v>
      </c>
      <c r="BD72" s="123" t="s">
        <v>166</v>
      </c>
      <c r="BE72" s="163" t="s">
        <v>166</v>
      </c>
      <c r="BF72" s="123" t="s">
        <v>166</v>
      </c>
      <c r="BG72" s="123" t="s">
        <v>166</v>
      </c>
      <c r="BH72" s="123" t="s">
        <v>166</v>
      </c>
      <c r="BI72" s="163" t="s">
        <v>166</v>
      </c>
      <c r="BJ72" s="123" t="s">
        <v>166</v>
      </c>
      <c r="BK72" s="123" t="s">
        <v>166</v>
      </c>
      <c r="BL72" s="123" t="s">
        <v>166</v>
      </c>
      <c r="BM72" s="163" t="s">
        <v>166</v>
      </c>
      <c r="BN72" s="123" t="s">
        <v>166</v>
      </c>
      <c r="BO72" s="123"/>
      <c r="BP72" s="123"/>
      <c r="BQ72" s="163"/>
      <c r="BR72" s="123"/>
      <c r="BS72" s="163"/>
      <c r="BT72" s="123"/>
      <c r="BU72" s="164"/>
      <c r="BV72" s="164"/>
      <c r="BW72" s="164"/>
      <c r="BX72" s="164"/>
      <c r="BY72" s="164"/>
      <c r="BZ72" s="164"/>
      <c r="CA72" s="164"/>
      <c r="CB72" s="164"/>
      <c r="CC72" s="163"/>
      <c r="CD72" s="163"/>
      <c r="CE72" s="163"/>
      <c r="CF72" s="163"/>
      <c r="CG72" s="163"/>
      <c r="CH72" s="165"/>
      <c r="CI72" s="79" t="str">
        <f>+BI72</f>
        <v>-</v>
      </c>
      <c r="CJ72" s="79" t="str">
        <f>+BM72</f>
        <v>-</v>
      </c>
      <c r="CK72" s="79">
        <f>+BQ72</f>
        <v>0</v>
      </c>
    </row>
    <row r="73" spans="1:89" x14ac:dyDescent="0.15">
      <c r="A73" s="53" t="s">
        <v>167</v>
      </c>
      <c r="B73" s="17" t="s">
        <v>166</v>
      </c>
      <c r="C73" s="53" t="s">
        <v>166</v>
      </c>
      <c r="D73" s="17" t="s">
        <v>166</v>
      </c>
      <c r="E73" s="74" t="s">
        <v>166</v>
      </c>
      <c r="F73" s="17" t="s">
        <v>166</v>
      </c>
      <c r="G73" s="53" t="s">
        <v>166</v>
      </c>
      <c r="H73" s="17" t="s">
        <v>166</v>
      </c>
      <c r="I73" s="74" t="s">
        <v>166</v>
      </c>
      <c r="J73" s="17" t="s">
        <v>166</v>
      </c>
      <c r="K73" s="53" t="s">
        <v>166</v>
      </c>
      <c r="L73" s="17" t="s">
        <v>166</v>
      </c>
      <c r="M73" s="74" t="s">
        <v>166</v>
      </c>
      <c r="N73" s="123" t="s">
        <v>166</v>
      </c>
      <c r="O73" s="53" t="s">
        <v>166</v>
      </c>
      <c r="P73" s="123" t="s">
        <v>166</v>
      </c>
      <c r="Q73" s="74" t="s">
        <v>166</v>
      </c>
      <c r="R73" s="123">
        <v>1.8</v>
      </c>
      <c r="S73" s="53">
        <v>1.5</v>
      </c>
      <c r="T73" s="123">
        <v>1.6</v>
      </c>
      <c r="U73" s="74">
        <v>1.3</v>
      </c>
      <c r="V73" s="53">
        <v>1.4</v>
      </c>
      <c r="W73" s="53">
        <v>1.4</v>
      </c>
      <c r="X73" s="53">
        <v>1.4</v>
      </c>
      <c r="Y73" s="74">
        <v>1.6</v>
      </c>
      <c r="Z73" s="53">
        <v>1.7</v>
      </c>
      <c r="AA73" s="53">
        <v>1.7</v>
      </c>
      <c r="AB73" s="53">
        <v>1.0900000000000001</v>
      </c>
      <c r="AC73" s="74">
        <v>1.1399999999999999</v>
      </c>
      <c r="AD73" s="53">
        <v>1.36</v>
      </c>
      <c r="AE73" s="53">
        <v>1.46</v>
      </c>
      <c r="AF73" s="166">
        <v>1.18</v>
      </c>
      <c r="AG73" s="74">
        <v>1.6</v>
      </c>
      <c r="AH73" s="166">
        <v>1.61</v>
      </c>
      <c r="AI73" s="167">
        <v>1.71</v>
      </c>
      <c r="AJ73" s="166">
        <v>1.87</v>
      </c>
      <c r="AK73" s="74">
        <v>1.98</v>
      </c>
      <c r="AL73" s="166">
        <v>2.04</v>
      </c>
      <c r="AM73" s="167">
        <v>1.98</v>
      </c>
      <c r="AN73" s="166">
        <v>2.06</v>
      </c>
      <c r="AO73" s="74">
        <v>2.29</v>
      </c>
      <c r="AP73" s="166">
        <v>2.0299999999999998</v>
      </c>
      <c r="AQ73" s="167">
        <v>1.97</v>
      </c>
      <c r="AR73" s="166">
        <v>1.97</v>
      </c>
      <c r="AS73" s="74">
        <v>2.0699999999999998</v>
      </c>
      <c r="AT73" s="166">
        <v>1.88</v>
      </c>
      <c r="AU73" s="167">
        <v>1.69</v>
      </c>
      <c r="AV73" s="38"/>
      <c r="AW73" s="74"/>
      <c r="AX73" s="167"/>
      <c r="AY73" s="168"/>
      <c r="AZ73" s="168"/>
      <c r="BA73" s="169"/>
      <c r="BB73" s="168"/>
      <c r="BC73" s="168"/>
      <c r="BD73" s="168"/>
      <c r="BE73" s="169"/>
      <c r="BF73" s="168"/>
      <c r="BG73" s="170"/>
      <c r="BH73" s="168"/>
      <c r="BI73" s="169"/>
      <c r="BJ73" s="168"/>
      <c r="BK73" s="170"/>
      <c r="BL73" s="168"/>
      <c r="BM73" s="169"/>
      <c r="BN73" s="168"/>
      <c r="BO73" s="170"/>
      <c r="BP73" s="168"/>
      <c r="BQ73" s="169"/>
      <c r="BR73" s="168"/>
      <c r="BS73" s="169"/>
      <c r="BT73" s="166"/>
      <c r="BU73" s="171"/>
      <c r="BV73" s="171"/>
      <c r="BW73" s="172"/>
      <c r="BX73" s="171"/>
      <c r="BY73" s="172"/>
      <c r="BZ73" s="171"/>
      <c r="CA73" s="172"/>
      <c r="CB73" s="171"/>
      <c r="CC73" s="173"/>
      <c r="CD73" s="162"/>
      <c r="CE73" s="173"/>
      <c r="CF73" s="173"/>
      <c r="CG73" s="173"/>
      <c r="CH73" s="169"/>
      <c r="CI73" s="79">
        <f>+BI73</f>
        <v>0</v>
      </c>
      <c r="CJ73" s="79">
        <f>+BM73</f>
        <v>0</v>
      </c>
      <c r="CK73" s="79">
        <f>+BQ73</f>
        <v>0</v>
      </c>
    </row>
    <row r="74" spans="1:89" x14ac:dyDescent="0.15">
      <c r="A74" s="33" t="s">
        <v>60</v>
      </c>
      <c r="B74" s="17"/>
      <c r="D74" s="17"/>
      <c r="E74" s="34"/>
      <c r="F74" s="17"/>
      <c r="H74" s="17"/>
      <c r="I74" s="34"/>
      <c r="J74" s="17"/>
      <c r="L74" s="17"/>
      <c r="M74" s="34"/>
      <c r="N74" s="123"/>
      <c r="P74" s="123"/>
      <c r="Q74" s="34"/>
      <c r="R74" s="123"/>
      <c r="T74" s="123"/>
      <c r="U74" s="34"/>
      <c r="Y74" s="34"/>
      <c r="AC74" s="34"/>
      <c r="AF74" s="166"/>
      <c r="AG74" s="34"/>
      <c r="AH74" s="166"/>
      <c r="AI74" s="167"/>
      <c r="AJ74" s="166"/>
      <c r="AK74" s="34"/>
      <c r="AL74" s="166"/>
      <c r="AM74" s="167"/>
      <c r="AN74" s="166"/>
      <c r="AO74" s="34"/>
      <c r="AP74" s="166"/>
      <c r="AQ74" s="167"/>
      <c r="AR74" s="166"/>
      <c r="AS74" s="34"/>
      <c r="AT74" s="166"/>
      <c r="AU74" s="167"/>
      <c r="AV74" s="167"/>
      <c r="AW74" s="174">
        <v>0.16200000000000001</v>
      </c>
      <c r="AX74" s="175">
        <v>0.151</v>
      </c>
      <c r="AY74" s="175">
        <v>0.14799999999999999</v>
      </c>
      <c r="AZ74" s="175">
        <v>0.16500000000000001</v>
      </c>
      <c r="BA74" s="174">
        <v>0.154</v>
      </c>
      <c r="BB74" s="175">
        <v>0.152</v>
      </c>
      <c r="BC74" s="175">
        <v>0.16200000000000001</v>
      </c>
      <c r="BD74" s="175">
        <v>0.16700000000000001</v>
      </c>
      <c r="BE74" s="174">
        <v>0.16700000000000001</v>
      </c>
      <c r="BF74" s="175">
        <v>0.17</v>
      </c>
      <c r="BG74" s="175">
        <v>0.16500000000000001</v>
      </c>
      <c r="BH74" s="175">
        <v>0.16800000000000001</v>
      </c>
      <c r="BI74" s="174">
        <v>0.17399999999999999</v>
      </c>
      <c r="BJ74" s="175">
        <v>0.16507597695270609</v>
      </c>
      <c r="BK74" s="175">
        <v>0.16600000000000001</v>
      </c>
      <c r="BL74" s="175">
        <v>0.16300000000000001</v>
      </c>
      <c r="BM74" s="174">
        <v>0.17100000000000001</v>
      </c>
      <c r="BN74" s="175">
        <v>0.217</v>
      </c>
      <c r="BO74" s="175">
        <v>0.18252498212470011</v>
      </c>
      <c r="BP74" s="175">
        <v>0.19713276766235208</v>
      </c>
      <c r="BQ74" s="174">
        <v>0.19713276766235208</v>
      </c>
      <c r="BR74" s="176">
        <v>0.185</v>
      </c>
      <c r="BS74" s="174">
        <v>0.18</v>
      </c>
      <c r="BT74" s="166"/>
      <c r="BU74" s="171"/>
      <c r="BV74" s="171"/>
      <c r="BW74" s="172"/>
      <c r="BX74" s="171"/>
      <c r="BY74" s="172"/>
      <c r="BZ74" s="171"/>
      <c r="CA74" s="172"/>
      <c r="CB74" s="171"/>
      <c r="CC74" s="173"/>
      <c r="CD74" s="162"/>
      <c r="CE74" s="173"/>
      <c r="CF74" s="173"/>
      <c r="CG74" s="173"/>
      <c r="CH74" s="169"/>
      <c r="CI74" s="217">
        <f>+BI74</f>
        <v>0.17399999999999999</v>
      </c>
      <c r="CJ74" s="217">
        <f>+BM74</f>
        <v>0.17100000000000001</v>
      </c>
      <c r="CK74" s="217">
        <f>+BQ74</f>
        <v>0.19713276766235208</v>
      </c>
    </row>
    <row r="75" spans="1:89" x14ac:dyDescent="0.15">
      <c r="A75" s="53" t="s">
        <v>57</v>
      </c>
      <c r="B75" s="175">
        <f t="shared" ref="B75:BP75" si="54">-B26/B24</f>
        <v>0.54545454545454652</v>
      </c>
      <c r="C75" s="175">
        <f t="shared" si="54"/>
        <v>0.50000000000000056</v>
      </c>
      <c r="D75" s="175">
        <f t="shared" si="54"/>
        <v>0.30177514792899396</v>
      </c>
      <c r="E75" s="174">
        <f t="shared" si="54"/>
        <v>0.2193119624706806</v>
      </c>
      <c r="F75" s="175">
        <f t="shared" si="54"/>
        <v>0.27</v>
      </c>
      <c r="G75" s="175">
        <f t="shared" si="54"/>
        <v>0.2794117647058823</v>
      </c>
      <c r="H75" s="175">
        <f t="shared" si="54"/>
        <v>0.44036697247706424</v>
      </c>
      <c r="I75" s="174">
        <f t="shared" si="54"/>
        <v>-2.7064290456007861E-2</v>
      </c>
      <c r="J75" s="175">
        <f t="shared" si="54"/>
        <v>0.25655976676384834</v>
      </c>
      <c r="K75" s="175">
        <f t="shared" si="54"/>
        <v>0.26149425287356309</v>
      </c>
      <c r="L75" s="175">
        <f t="shared" si="54"/>
        <v>0.26440677966101689</v>
      </c>
      <c r="M75" s="174">
        <f t="shared" si="54"/>
        <v>0.29027015764983677</v>
      </c>
      <c r="N75" s="175">
        <f t="shared" si="54"/>
        <v>0.28540772532188835</v>
      </c>
      <c r="O75" s="175">
        <f t="shared" si="54"/>
        <v>0.28321678321678323</v>
      </c>
      <c r="P75" s="175">
        <f t="shared" si="54"/>
        <v>0.29469548133595291</v>
      </c>
      <c r="Q75" s="174">
        <f t="shared" si="54"/>
        <v>0.31350482315112543</v>
      </c>
      <c r="R75" s="175">
        <f t="shared" si="54"/>
        <v>0.28936605316973418</v>
      </c>
      <c r="S75" s="175">
        <f t="shared" si="54"/>
        <v>0.29629629629629628</v>
      </c>
      <c r="T75" s="175">
        <f t="shared" si="54"/>
        <v>0.30456226880394577</v>
      </c>
      <c r="U75" s="174">
        <f t="shared" si="54"/>
        <v>0.28837209302325545</v>
      </c>
      <c r="V75" s="175">
        <f t="shared" si="54"/>
        <v>0.2573099415204676</v>
      </c>
      <c r="W75" s="175">
        <f t="shared" si="54"/>
        <v>0.24867724867724861</v>
      </c>
      <c r="X75" s="175">
        <f t="shared" si="54"/>
        <v>0.22982456140350876</v>
      </c>
      <c r="Y75" s="174">
        <f t="shared" si="54"/>
        <v>0.23351648351648349</v>
      </c>
      <c r="Z75" s="175">
        <f t="shared" si="54"/>
        <v>0.22153846153846135</v>
      </c>
      <c r="AA75" s="175">
        <f t="shared" si="54"/>
        <v>0.23999999999999988</v>
      </c>
      <c r="AB75" s="175">
        <f t="shared" si="54"/>
        <v>0.18058870326173426</v>
      </c>
      <c r="AC75" s="174">
        <f t="shared" si="54"/>
        <v>0.15028901734104061</v>
      </c>
      <c r="AD75" s="175">
        <f t="shared" si="54"/>
        <v>0.25176803394625163</v>
      </c>
      <c r="AE75" s="175">
        <f t="shared" si="54"/>
        <v>0.14906832298136657</v>
      </c>
      <c r="AF75" s="175">
        <f t="shared" si="54"/>
        <v>0.19052527595241173</v>
      </c>
      <c r="AG75" s="174">
        <f t="shared" si="54"/>
        <v>0.23287805836690581</v>
      </c>
      <c r="AH75" s="175">
        <f t="shared" si="54"/>
        <v>0.20702849662672432</v>
      </c>
      <c r="AI75" s="175">
        <f t="shared" si="54"/>
        <v>0.16491754122938526</v>
      </c>
      <c r="AJ75" s="175">
        <f t="shared" si="54"/>
        <v>0.23168316831683181</v>
      </c>
      <c r="AK75" s="174">
        <f t="shared" si="54"/>
        <v>0.31248963736706215</v>
      </c>
      <c r="AL75" s="175">
        <f t="shared" si="54"/>
        <v>0.21653160453808742</v>
      </c>
      <c r="AM75" s="175">
        <f t="shared" si="54"/>
        <v>0.21915737766861901</v>
      </c>
      <c r="AN75" s="175">
        <f t="shared" si="54"/>
        <v>0.33232628398791547</v>
      </c>
      <c r="AO75" s="174">
        <f t="shared" si="54"/>
        <v>-8.829568788501034E-2</v>
      </c>
      <c r="AP75" s="175">
        <f t="shared" si="54"/>
        <v>0.18865248226950357</v>
      </c>
      <c r="AQ75" s="175">
        <f t="shared" si="54"/>
        <v>0.19089574155653435</v>
      </c>
      <c r="AR75" s="175">
        <f t="shared" si="54"/>
        <v>0.19486823855755889</v>
      </c>
      <c r="AS75" s="174">
        <f t="shared" si="54"/>
        <v>0.23741007194244604</v>
      </c>
      <c r="AT75" s="175">
        <f t="shared" si="54"/>
        <v>0.18035916586245956</v>
      </c>
      <c r="AU75" s="175">
        <f t="shared" si="54"/>
        <v>0.17632836580606842</v>
      </c>
      <c r="AV75" s="175">
        <f t="shared" si="54"/>
        <v>0.2005019187104142</v>
      </c>
      <c r="AW75" s="174">
        <f t="shared" si="54"/>
        <v>0.16201356732970296</v>
      </c>
      <c r="AX75" s="175">
        <f t="shared" si="54"/>
        <v>0.20343286539322383</v>
      </c>
      <c r="AY75" s="175">
        <f t="shared" si="54"/>
        <v>0.15712747780224992</v>
      </c>
      <c r="AZ75" s="175">
        <f t="shared" si="54"/>
        <v>0.22618476028971587</v>
      </c>
      <c r="BA75" s="174">
        <f t="shared" si="54"/>
        <v>0.2272799533676011</v>
      </c>
      <c r="BB75" s="175">
        <f t="shared" si="54"/>
        <v>0.19222227207465897</v>
      </c>
      <c r="BC75" s="175">
        <f t="shared" si="54"/>
        <v>0.21164697482668859</v>
      </c>
      <c r="BD75" s="175">
        <f t="shared" si="54"/>
        <v>0.17669253475528474</v>
      </c>
      <c r="BE75" s="174">
        <f t="shared" si="54"/>
        <v>0.18868817763255602</v>
      </c>
      <c r="BF75" s="175">
        <f t="shared" si="54"/>
        <v>0.2517822117010482</v>
      </c>
      <c r="BG75" s="175">
        <f t="shared" si="54"/>
        <v>0.22798224258914554</v>
      </c>
      <c r="BH75" s="175">
        <f t="shared" si="54"/>
        <v>0.12795533527032418</v>
      </c>
      <c r="BI75" s="174">
        <f t="shared" si="54"/>
        <v>5.215096632114518E-2</v>
      </c>
      <c r="BJ75" s="175">
        <f t="shared" si="54"/>
        <v>0.2760480041991748</v>
      </c>
      <c r="BK75" s="175">
        <f t="shared" si="54"/>
        <v>9.2203412922783348E-2</v>
      </c>
      <c r="BL75" s="175">
        <f t="shared" si="54"/>
        <v>8.8507813580417538E-2</v>
      </c>
      <c r="BM75" s="174">
        <f t="shared" si="54"/>
        <v>0.1533543207164996</v>
      </c>
      <c r="BN75" s="175">
        <f t="shared" si="54"/>
        <v>7.7743831516260603E-2</v>
      </c>
      <c r="BO75" s="175">
        <f t="shared" si="54"/>
        <v>0.10568947246616897</v>
      </c>
      <c r="BP75" s="175">
        <f t="shared" si="54"/>
        <v>0.12342012270470654</v>
      </c>
      <c r="BQ75" s="174">
        <f>-BQ26/BQ24</f>
        <v>0.10573121196172901</v>
      </c>
      <c r="BR75" s="175">
        <f>-BR26/BR24</f>
        <v>0.17909776893949719</v>
      </c>
      <c r="BS75" s="174">
        <f>-BS26/BS24</f>
        <v>0.18190117817890222</v>
      </c>
      <c r="BT75" s="176"/>
      <c r="BU75" s="177">
        <f t="shared" ref="BU75:CF75" si="55">-BU26/BU24</f>
        <v>0.29915546279668015</v>
      </c>
      <c r="BV75" s="177">
        <f t="shared" si="55"/>
        <v>0.23264573813229197</v>
      </c>
      <c r="BW75" s="177">
        <f t="shared" si="55"/>
        <v>0.27186086608860788</v>
      </c>
      <c r="BX75" s="177">
        <f t="shared" si="55"/>
        <v>0.29236562820951739</v>
      </c>
      <c r="BY75" s="177">
        <f t="shared" si="55"/>
        <v>0.29565841406530302</v>
      </c>
      <c r="BZ75" s="177">
        <f t="shared" si="55"/>
        <v>0.24219178082191736</v>
      </c>
      <c r="CA75" s="177">
        <f t="shared" si="55"/>
        <v>0.19580696202531658</v>
      </c>
      <c r="CB75" s="177">
        <f t="shared" si="55"/>
        <v>0.21347437853878304</v>
      </c>
      <c r="CC75" s="174">
        <f t="shared" si="55"/>
        <v>0.23145956158521316</v>
      </c>
      <c r="CD75" s="174">
        <f t="shared" si="55"/>
        <v>0.1686906019007392</v>
      </c>
      <c r="CE75" s="174">
        <f t="shared" si="55"/>
        <v>0.20452227133628026</v>
      </c>
      <c r="CF75" s="174">
        <f t="shared" si="55"/>
        <v>0.17880666983147397</v>
      </c>
      <c r="CG75" s="174">
        <f>-CG26/CG24</f>
        <v>0.20396536159684375</v>
      </c>
      <c r="CH75" s="174">
        <f>-CH26/CH24</f>
        <v>0.19222590241859591</v>
      </c>
      <c r="CI75" s="174">
        <f>-CI26/CI24</f>
        <v>0.16420005294520143</v>
      </c>
      <c r="CJ75" s="174">
        <f>-CJ26/CJ24</f>
        <v>0.16377777620366527</v>
      </c>
      <c r="CK75" s="174">
        <f>-CK26/CK24</f>
        <v>0.10048275386971471</v>
      </c>
    </row>
    <row r="76" spans="1:89" x14ac:dyDescent="0.15">
      <c r="A76" s="53" t="s">
        <v>59</v>
      </c>
      <c r="B76" s="81">
        <v>162.1</v>
      </c>
      <c r="C76" s="45">
        <v>164.3</v>
      </c>
      <c r="D76" s="81">
        <v>175.6</v>
      </c>
      <c r="E76" s="46">
        <v>189.82900000000001</v>
      </c>
      <c r="F76" s="81">
        <v>224.7</v>
      </c>
      <c r="G76" s="45">
        <v>241</v>
      </c>
      <c r="H76" s="82">
        <v>247</v>
      </c>
      <c r="I76" s="46">
        <v>341.5</v>
      </c>
      <c r="J76" s="82">
        <v>367.4</v>
      </c>
      <c r="K76" s="45">
        <v>404.9</v>
      </c>
      <c r="L76" s="82">
        <v>465</v>
      </c>
      <c r="M76" s="46">
        <v>514.4</v>
      </c>
      <c r="N76" s="18">
        <v>581.70000000000005</v>
      </c>
      <c r="O76" s="45">
        <v>624.1</v>
      </c>
      <c r="P76" s="18">
        <v>653.79999999999995</v>
      </c>
      <c r="Q76" s="46">
        <v>691.4</v>
      </c>
      <c r="R76" s="18">
        <v>772</v>
      </c>
      <c r="S76" s="45">
        <v>747.3</v>
      </c>
      <c r="T76" s="18">
        <v>810</v>
      </c>
      <c r="U76" s="46">
        <v>812</v>
      </c>
      <c r="V76" s="45">
        <v>845.5</v>
      </c>
      <c r="W76" s="45">
        <v>793.8</v>
      </c>
      <c r="X76" s="45">
        <v>837.7</v>
      </c>
      <c r="Y76" s="46">
        <v>851.9</v>
      </c>
      <c r="Z76" s="45">
        <v>895.6</v>
      </c>
      <c r="AA76" s="45">
        <v>857.5</v>
      </c>
      <c r="AB76" s="45">
        <v>955.2</v>
      </c>
      <c r="AC76" s="46">
        <v>1036.4000000000001</v>
      </c>
      <c r="AD76" s="45">
        <v>1062</v>
      </c>
      <c r="AE76" s="45">
        <v>1005</v>
      </c>
      <c r="AF76" s="45">
        <v>1160</v>
      </c>
      <c r="AG76" s="46">
        <v>1241.0999999999999</v>
      </c>
      <c r="AH76" s="45">
        <v>1313.4</v>
      </c>
      <c r="AI76" s="45">
        <v>1300</v>
      </c>
      <c r="AJ76" s="45">
        <v>1391.1</v>
      </c>
      <c r="AK76" s="46">
        <v>1429.3</v>
      </c>
      <c r="AL76" s="45">
        <v>1510.2</v>
      </c>
      <c r="AM76" s="45">
        <v>1435.6</v>
      </c>
      <c r="AN76" s="45">
        <v>1460.5</v>
      </c>
      <c r="AO76" s="46">
        <v>1514</v>
      </c>
      <c r="AP76" s="45">
        <v>1561</v>
      </c>
      <c r="AQ76" s="45">
        <v>1498.2</v>
      </c>
      <c r="AR76" s="45">
        <v>1555.9159999999999</v>
      </c>
      <c r="AS76" s="46">
        <v>1625.4</v>
      </c>
      <c r="AT76" s="45">
        <v>1710.4</v>
      </c>
      <c r="AU76" s="45">
        <v>1617.5</v>
      </c>
      <c r="AV76" s="45">
        <v>1680</v>
      </c>
      <c r="AW76" s="46">
        <v>1751.1</v>
      </c>
      <c r="AX76" s="45">
        <v>1857.9</v>
      </c>
      <c r="AY76" s="44">
        <v>1745.7</v>
      </c>
      <c r="AZ76" s="44">
        <v>1820.1</v>
      </c>
      <c r="BA76" s="48">
        <v>1874</v>
      </c>
      <c r="BB76" s="44">
        <v>1958.1</v>
      </c>
      <c r="BC76" s="44">
        <v>1823.5</v>
      </c>
      <c r="BD76" s="44">
        <v>1891.3</v>
      </c>
      <c r="BE76" s="48">
        <v>1978.9</v>
      </c>
      <c r="BF76" s="44">
        <v>2108.5630000000001</v>
      </c>
      <c r="BG76" s="44">
        <v>2111.8580000000002</v>
      </c>
      <c r="BH76" s="44">
        <v>2159.3409999999999</v>
      </c>
      <c r="BI76" s="48">
        <v>2024.653</v>
      </c>
      <c r="BJ76" s="44">
        <v>2026.922</v>
      </c>
      <c r="BK76" s="44">
        <v>1954.364</v>
      </c>
      <c r="BL76" s="44">
        <v>1972.9860000000001</v>
      </c>
      <c r="BM76" s="48">
        <v>1988.239</v>
      </c>
      <c r="BN76" s="44">
        <v>2615.12</v>
      </c>
      <c r="BO76" s="44">
        <v>2940.7420000000002</v>
      </c>
      <c r="BP76" s="44">
        <v>3013.9029999999998</v>
      </c>
      <c r="BQ76" s="48">
        <v>3057.7820000000002</v>
      </c>
      <c r="BR76" s="44">
        <v>3293.2</v>
      </c>
      <c r="BS76" s="48">
        <v>3596.7389999999991</v>
      </c>
      <c r="BT76" s="76"/>
      <c r="BU76" s="77">
        <f>+E76</f>
        <v>189.82900000000001</v>
      </c>
      <c r="BV76" s="77">
        <f>+I76</f>
        <v>341.5</v>
      </c>
      <c r="BW76" s="78">
        <f>+M76</f>
        <v>514.4</v>
      </c>
      <c r="BX76" s="77">
        <f>+Q76</f>
        <v>691.4</v>
      </c>
      <c r="BY76" s="78">
        <f>+U76</f>
        <v>812</v>
      </c>
      <c r="BZ76" s="77">
        <f>+Y76</f>
        <v>851.9</v>
      </c>
      <c r="CA76" s="78">
        <f>+AC76</f>
        <v>1036.4000000000001</v>
      </c>
      <c r="CB76" s="77">
        <f>+AG76</f>
        <v>1241.0999999999999</v>
      </c>
      <c r="CC76" s="79">
        <f>+AK76</f>
        <v>1429.3</v>
      </c>
      <c r="CD76" s="80">
        <f>+AO76</f>
        <v>1514</v>
      </c>
      <c r="CE76" s="79">
        <f>+AS76</f>
        <v>1625.4</v>
      </c>
      <c r="CF76" s="79">
        <f>+AW76</f>
        <v>1751.1</v>
      </c>
      <c r="CG76" s="79">
        <f>+BA76</f>
        <v>1874</v>
      </c>
      <c r="CH76" s="79">
        <f>+BE76</f>
        <v>1978.9</v>
      </c>
      <c r="CI76" s="79">
        <f>+BI76</f>
        <v>2024.653</v>
      </c>
      <c r="CJ76" s="79">
        <f>+BM76</f>
        <v>1988.239</v>
      </c>
      <c r="CK76" s="79">
        <f>+BQ76</f>
        <v>3057.7820000000002</v>
      </c>
    </row>
    <row r="77" spans="1:89" x14ac:dyDescent="0.15">
      <c r="A77" s="53"/>
      <c r="B77" s="123"/>
      <c r="C77" s="53"/>
      <c r="D77" s="123"/>
      <c r="E77" s="74"/>
      <c r="F77" s="123"/>
      <c r="G77" s="53"/>
      <c r="H77" s="123"/>
      <c r="I77" s="74"/>
      <c r="J77" s="123"/>
      <c r="K77" s="53"/>
      <c r="L77" s="123"/>
      <c r="M77" s="74"/>
      <c r="N77" s="123"/>
      <c r="O77" s="53"/>
      <c r="P77" s="123"/>
      <c r="Q77" s="74"/>
      <c r="R77" s="123"/>
      <c r="S77" s="53"/>
      <c r="T77" s="123"/>
      <c r="U77" s="74"/>
      <c r="V77" s="53"/>
      <c r="W77" s="53"/>
      <c r="X77" s="53"/>
      <c r="Y77" s="74"/>
      <c r="Z77" s="53"/>
      <c r="AA77" s="53"/>
      <c r="AB77" s="53"/>
      <c r="AC77" s="74"/>
      <c r="AD77" s="53"/>
      <c r="AE77" s="53"/>
      <c r="AF77" s="53"/>
      <c r="AG77" s="74"/>
      <c r="AH77" s="53"/>
      <c r="AI77" s="53"/>
      <c r="AJ77" s="53"/>
      <c r="AK77" s="74"/>
      <c r="AL77" s="53"/>
      <c r="AM77" s="53"/>
      <c r="AN77" s="53"/>
      <c r="AO77" s="74"/>
      <c r="AP77" s="53"/>
      <c r="AR77" s="53"/>
      <c r="AS77" s="74"/>
      <c r="AT77" s="53"/>
      <c r="AV77" s="53"/>
      <c r="AW77" s="74"/>
      <c r="AY77" s="35"/>
      <c r="AZ77" s="35"/>
      <c r="BA77" s="36"/>
      <c r="BB77" s="35"/>
      <c r="BE77" s="36"/>
      <c r="BG77" s="75"/>
      <c r="BH77" s="75"/>
      <c r="BI77" s="36"/>
      <c r="BK77" s="75"/>
      <c r="BL77" s="75"/>
      <c r="BM77" s="36"/>
      <c r="BO77" s="75"/>
      <c r="BP77" s="75"/>
      <c r="BQ77" s="36"/>
      <c r="BS77" s="36"/>
      <c r="BT77" s="53"/>
      <c r="BU77" s="124"/>
      <c r="BV77" s="124"/>
      <c r="BW77" s="37"/>
      <c r="BX77" s="124"/>
      <c r="BY77" s="37"/>
      <c r="BZ77" s="124"/>
      <c r="CA77" s="37"/>
      <c r="CB77" s="124"/>
      <c r="CC77" s="34"/>
      <c r="CD77" s="74"/>
      <c r="CE77" s="34"/>
      <c r="CF77" s="34"/>
      <c r="CG77" s="34"/>
      <c r="CH77" s="34"/>
      <c r="CI77" s="34"/>
      <c r="CJ77" s="34"/>
      <c r="CK77" s="34"/>
    </row>
    <row r="78" spans="1:89" x14ac:dyDescent="0.15">
      <c r="A78" s="38" t="s">
        <v>61</v>
      </c>
      <c r="B78" s="123"/>
      <c r="C78" s="38"/>
      <c r="D78" s="123"/>
      <c r="E78" s="39"/>
      <c r="F78" s="123"/>
      <c r="G78" s="38"/>
      <c r="H78" s="123"/>
      <c r="I78" s="39"/>
      <c r="J78" s="123"/>
      <c r="K78" s="38"/>
      <c r="L78" s="123"/>
      <c r="M78" s="39"/>
      <c r="N78" s="123"/>
      <c r="O78" s="38"/>
      <c r="P78" s="123"/>
      <c r="Q78" s="39"/>
      <c r="R78" s="123"/>
      <c r="S78" s="38"/>
      <c r="T78" s="123"/>
      <c r="U78" s="39"/>
      <c r="V78" s="38"/>
      <c r="W78" s="38"/>
      <c r="X78" s="38"/>
      <c r="Y78" s="39"/>
      <c r="Z78" s="38"/>
      <c r="AA78" s="38"/>
      <c r="AB78" s="38"/>
      <c r="AC78" s="39"/>
      <c r="AD78" s="38"/>
      <c r="AE78" s="38"/>
      <c r="AF78" s="38"/>
      <c r="AG78" s="39"/>
      <c r="AH78" s="38"/>
      <c r="AI78" s="38"/>
      <c r="AJ78" s="38"/>
      <c r="AK78" s="39"/>
      <c r="AL78" s="38"/>
      <c r="AM78" s="38"/>
      <c r="AN78" s="38"/>
      <c r="AO78" s="39"/>
      <c r="AP78" s="38"/>
      <c r="AR78" s="38"/>
      <c r="AS78" s="39"/>
      <c r="AT78" s="38"/>
      <c r="AV78" s="38"/>
      <c r="AW78" s="39"/>
      <c r="AY78" s="35"/>
      <c r="AZ78" s="35"/>
      <c r="BA78" s="36"/>
      <c r="BB78" s="35"/>
      <c r="BE78" s="36"/>
      <c r="BI78" s="36"/>
      <c r="BM78" s="36"/>
      <c r="BQ78" s="36"/>
      <c r="BS78" s="36"/>
      <c r="BT78" s="178"/>
      <c r="BU78" s="179"/>
      <c r="BV78" s="179"/>
      <c r="BW78" s="180"/>
      <c r="BX78" s="179"/>
      <c r="BY78" s="180"/>
      <c r="BZ78" s="179"/>
      <c r="CA78" s="180"/>
      <c r="CB78" s="179"/>
      <c r="CC78" s="181"/>
      <c r="CD78" s="182"/>
      <c r="CE78" s="181"/>
      <c r="CF78" s="181"/>
      <c r="CG78" s="181"/>
      <c r="CH78" s="181"/>
      <c r="CI78" s="181"/>
      <c r="CJ78" s="181"/>
      <c r="CK78" s="181"/>
    </row>
    <row r="79" spans="1:89" x14ac:dyDescent="0.15">
      <c r="A79" s="53" t="s">
        <v>62</v>
      </c>
      <c r="B79" s="183">
        <v>1.7</v>
      </c>
      <c r="C79" s="184">
        <v>1.75</v>
      </c>
      <c r="D79" s="183">
        <v>3.6</v>
      </c>
      <c r="E79" s="185">
        <v>3.85</v>
      </c>
      <c r="F79" s="183">
        <v>7.7</v>
      </c>
      <c r="G79" s="184">
        <v>6.4</v>
      </c>
      <c r="H79" s="183">
        <v>10.6</v>
      </c>
      <c r="I79" s="185">
        <v>7.75</v>
      </c>
      <c r="J79" s="186">
        <v>8.85</v>
      </c>
      <c r="K79" s="184">
        <v>8.4</v>
      </c>
      <c r="L79" s="187">
        <v>10.6</v>
      </c>
      <c r="M79" s="185">
        <v>21.1</v>
      </c>
      <c r="N79" s="187">
        <v>23.5</v>
      </c>
      <c r="O79" s="184">
        <v>24.9</v>
      </c>
      <c r="P79" s="187">
        <v>23.8</v>
      </c>
      <c r="Q79" s="185">
        <v>23.9</v>
      </c>
      <c r="R79" s="187">
        <v>23.8</v>
      </c>
      <c r="S79" s="184">
        <v>22.4</v>
      </c>
      <c r="T79" s="186">
        <v>19.5</v>
      </c>
      <c r="U79" s="185">
        <v>19.2</v>
      </c>
      <c r="V79" s="184">
        <v>17.7</v>
      </c>
      <c r="W79" s="184">
        <v>13.9</v>
      </c>
      <c r="X79" s="184">
        <v>10.95</v>
      </c>
      <c r="Y79" s="185">
        <v>8.6</v>
      </c>
      <c r="Z79" s="184">
        <v>11.2</v>
      </c>
      <c r="AA79" s="184">
        <v>15.3</v>
      </c>
      <c r="AB79" s="184">
        <v>23.2</v>
      </c>
      <c r="AC79" s="185">
        <v>23.6</v>
      </c>
      <c r="AD79" s="184">
        <v>24.1</v>
      </c>
      <c r="AE79" s="184">
        <v>27.6</v>
      </c>
      <c r="AF79" s="184">
        <v>27.8</v>
      </c>
      <c r="AG79" s="185">
        <v>23.6</v>
      </c>
      <c r="AH79" s="184">
        <v>19.600000000000001</v>
      </c>
      <c r="AI79" s="184">
        <v>21.1</v>
      </c>
      <c r="AJ79" s="184">
        <v>15.3</v>
      </c>
      <c r="AK79" s="185">
        <v>15.6</v>
      </c>
      <c r="AL79" s="184">
        <v>23.5</v>
      </c>
      <c r="AM79" s="184">
        <v>20</v>
      </c>
      <c r="AN79" s="184">
        <v>18.8</v>
      </c>
      <c r="AO79" s="185">
        <v>16.8</v>
      </c>
      <c r="AP79" s="184">
        <v>20.2</v>
      </c>
      <c r="AQ79" s="188">
        <v>17.2</v>
      </c>
      <c r="AR79" s="184">
        <v>24.2</v>
      </c>
      <c r="AS79" s="185">
        <v>26</v>
      </c>
      <c r="AT79" s="184">
        <v>27.5</v>
      </c>
      <c r="AU79" s="188">
        <v>32</v>
      </c>
      <c r="AV79" s="184">
        <v>27.5</v>
      </c>
      <c r="AW79" s="185">
        <v>28.2</v>
      </c>
      <c r="AX79" s="188">
        <v>33</v>
      </c>
      <c r="AY79" s="188">
        <v>33.200000000000003</v>
      </c>
      <c r="AZ79" s="188">
        <v>31.3</v>
      </c>
      <c r="BA79" s="189">
        <v>41</v>
      </c>
      <c r="BB79" s="188">
        <v>34.700000000000003</v>
      </c>
      <c r="BC79" s="188">
        <v>26</v>
      </c>
      <c r="BD79" s="188">
        <v>28.2</v>
      </c>
      <c r="BE79" s="189">
        <v>37.299999999999997</v>
      </c>
      <c r="BF79" s="190"/>
      <c r="BG79" s="190"/>
      <c r="BH79" s="190"/>
      <c r="BI79" s="189"/>
      <c r="BJ79" s="190"/>
      <c r="BK79" s="190"/>
      <c r="BL79" s="190"/>
      <c r="BM79" s="189"/>
      <c r="BN79" s="190"/>
      <c r="BO79" s="190"/>
      <c r="BP79" s="190"/>
      <c r="BQ79" s="189"/>
      <c r="BR79" s="188"/>
      <c r="BS79" s="189"/>
      <c r="BT79" s="191"/>
      <c r="BU79" s="192">
        <f>+E79</f>
        <v>3.85</v>
      </c>
      <c r="BV79" s="192">
        <f>+I79</f>
        <v>7.75</v>
      </c>
      <c r="BW79" s="193">
        <f>+M79</f>
        <v>21.1</v>
      </c>
      <c r="BX79" s="192">
        <f>+Q79</f>
        <v>23.9</v>
      </c>
      <c r="BY79" s="193">
        <f>+U79</f>
        <v>19.2</v>
      </c>
      <c r="BZ79" s="192">
        <f>+Y79</f>
        <v>8.6</v>
      </c>
      <c r="CA79" s="193">
        <f>+AC79</f>
        <v>23.6</v>
      </c>
      <c r="CB79" s="192">
        <f>+AG79</f>
        <v>23.6</v>
      </c>
      <c r="CC79" s="194">
        <f>+AK79</f>
        <v>15.6</v>
      </c>
      <c r="CD79" s="195">
        <f>+AO79</f>
        <v>16.8</v>
      </c>
      <c r="CE79" s="194">
        <f>+AS79</f>
        <v>26</v>
      </c>
      <c r="CF79" s="194">
        <f>+AW79</f>
        <v>28.2</v>
      </c>
      <c r="CG79" s="194">
        <f>+BA79</f>
        <v>41</v>
      </c>
      <c r="CH79" s="194">
        <f>+BE79</f>
        <v>37.299999999999997</v>
      </c>
      <c r="CI79" s="194">
        <f>+BI79</f>
        <v>0</v>
      </c>
      <c r="CJ79" s="194">
        <f>+BM79</f>
        <v>0</v>
      </c>
      <c r="CK79" s="194">
        <f>+BN79</f>
        <v>0</v>
      </c>
    </row>
    <row r="80" spans="1:89" x14ac:dyDescent="0.15">
      <c r="A80" s="53" t="s">
        <v>64</v>
      </c>
      <c r="B80" s="45">
        <v>264767.02360000001</v>
      </c>
      <c r="C80" s="45">
        <v>272554.28899999999</v>
      </c>
      <c r="D80" s="45">
        <v>560683.10880000005</v>
      </c>
      <c r="E80" s="46">
        <v>599619.43580000009</v>
      </c>
      <c r="F80" s="45">
        <v>1199238.8716000002</v>
      </c>
      <c r="G80" s="45">
        <v>996769.97120000003</v>
      </c>
      <c r="H80" s="45">
        <v>1650900.2648</v>
      </c>
      <c r="I80" s="46">
        <v>1278896.3045000001</v>
      </c>
      <c r="J80" s="45">
        <v>1460417.0703</v>
      </c>
      <c r="K80" s="45">
        <v>1386158.5752000001</v>
      </c>
      <c r="L80" s="45">
        <v>1749200.1068</v>
      </c>
      <c r="M80" s="46">
        <v>3481898.3258000002</v>
      </c>
      <c r="N80" s="45">
        <v>3877943.6329999999</v>
      </c>
      <c r="O80" s="45">
        <v>4108970.0621999996</v>
      </c>
      <c r="P80" s="45">
        <v>3927449.2963999999</v>
      </c>
      <c r="Q80" s="46">
        <v>3943951.1842</v>
      </c>
      <c r="R80" s="45">
        <v>3927449.2963999999</v>
      </c>
      <c r="S80" s="45">
        <v>3696422.8671999997</v>
      </c>
      <c r="T80" s="45">
        <v>3217868.1209999998</v>
      </c>
      <c r="U80" s="46">
        <v>3168362.4575999998</v>
      </c>
      <c r="V80" s="45">
        <v>2920834.1406</v>
      </c>
      <c r="W80" s="45">
        <v>2293762.4042000002</v>
      </c>
      <c r="X80" s="45">
        <v>1806956.7141</v>
      </c>
      <c r="Y80" s="46">
        <v>1413389.5663999999</v>
      </c>
      <c r="Z80" s="45">
        <v>1840659.7888</v>
      </c>
      <c r="AA80" s="45">
        <v>2514518.6472000005</v>
      </c>
      <c r="AB80" s="45">
        <v>3840280.34</v>
      </c>
      <c r="AC80" s="46">
        <v>3939719.926</v>
      </c>
      <c r="AD80" s="45">
        <v>4041533.3198000002</v>
      </c>
      <c r="AE80" s="45">
        <v>4632048.1356000006</v>
      </c>
      <c r="AF80" s="45">
        <v>4666028.6168</v>
      </c>
      <c r="AG80" s="46">
        <v>4130658.1096000005</v>
      </c>
      <c r="AH80" s="45">
        <v>3430546.5656000003</v>
      </c>
      <c r="AI80" s="45">
        <v>3693088.3946000002</v>
      </c>
      <c r="AJ80" s="45">
        <v>2677926.6558000003</v>
      </c>
      <c r="AK80" s="46">
        <v>2730435.0216000001</v>
      </c>
      <c r="AL80" s="45">
        <v>4113155.321</v>
      </c>
      <c r="AM80" s="45">
        <v>3500557.72</v>
      </c>
      <c r="AN80" s="45">
        <v>3290524.2568000001</v>
      </c>
      <c r="AO80" s="46">
        <v>2940468.4848000002</v>
      </c>
      <c r="AP80" s="45">
        <v>3535563.2971999999</v>
      </c>
      <c r="AQ80" s="45">
        <v>3010479.6391999996</v>
      </c>
      <c r="AR80" s="45">
        <v>4235674.8411999997</v>
      </c>
      <c r="AS80" s="46">
        <v>4550725.0360000003</v>
      </c>
      <c r="AT80" s="45">
        <v>4813266.8650000002</v>
      </c>
      <c r="AU80" s="45">
        <v>5600892.352</v>
      </c>
      <c r="AV80" s="45">
        <v>4813266.8650000002</v>
      </c>
      <c r="AW80" s="46">
        <v>4935786.3851999994</v>
      </c>
      <c r="AX80" s="45">
        <v>5775920.2379999999</v>
      </c>
      <c r="AY80" s="44">
        <v>5810925.815200001</v>
      </c>
      <c r="AZ80" s="44">
        <v>5478372.8317999998</v>
      </c>
      <c r="BA80" s="48">
        <v>7151172.0300000003</v>
      </c>
      <c r="BB80" s="44">
        <v>6051137.3961000005</v>
      </c>
      <c r="BC80" s="44">
        <v>4533993.4380000001</v>
      </c>
      <c r="BD80" s="44">
        <v>4917639.0365999993</v>
      </c>
      <c r="BE80" s="48">
        <v>6529000</v>
      </c>
      <c r="BF80" s="65"/>
      <c r="BG80" s="65"/>
      <c r="BH80" s="65"/>
      <c r="BI80" s="48"/>
      <c r="BJ80" s="65"/>
      <c r="BK80" s="65"/>
      <c r="BL80" s="65"/>
      <c r="BM80" s="48"/>
      <c r="BN80" s="65"/>
      <c r="BO80" s="65"/>
      <c r="BP80" s="65"/>
      <c r="BQ80" s="48"/>
      <c r="BR80" s="44"/>
      <c r="BS80" s="48"/>
      <c r="BT80" s="45"/>
      <c r="BU80" s="128">
        <v>599619.43580000009</v>
      </c>
      <c r="BV80" s="128">
        <v>1278896.3045000001</v>
      </c>
      <c r="BW80" s="128">
        <v>3481898.3258000002</v>
      </c>
      <c r="BX80" s="128">
        <v>3943951.1842</v>
      </c>
      <c r="BY80" s="128">
        <v>3168362.4575999998</v>
      </c>
      <c r="BZ80" s="128">
        <v>1413389.5663999999</v>
      </c>
      <c r="CA80" s="128">
        <v>3939719.926</v>
      </c>
      <c r="CB80" s="128">
        <v>4130658.1096000005</v>
      </c>
      <c r="CC80" s="46">
        <v>2730435.0216000001</v>
      </c>
      <c r="CD80" s="46">
        <v>2940468.4848000002</v>
      </c>
      <c r="CE80" s="46">
        <v>4550725.0360000003</v>
      </c>
      <c r="CF80" s="46">
        <v>4935786.3851999994</v>
      </c>
      <c r="CG80" s="46">
        <v>7151172.0300000003</v>
      </c>
      <c r="CH80" s="48">
        <f>+BE80</f>
        <v>6529000</v>
      </c>
      <c r="CI80" s="48">
        <f>+BI80</f>
        <v>0</v>
      </c>
      <c r="CJ80" s="48">
        <f>+BM80</f>
        <v>0</v>
      </c>
      <c r="CK80" s="48">
        <f>+BN80</f>
        <v>0</v>
      </c>
    </row>
    <row r="81" spans="1:89" x14ac:dyDescent="0.15">
      <c r="A81" s="53" t="s">
        <v>168</v>
      </c>
      <c r="B81" s="187">
        <f t="shared" ref="B81:S81" si="56">+B28*1000000/B85</f>
        <v>6.4207391724442559E-3</v>
      </c>
      <c r="C81" s="187">
        <f t="shared" si="56"/>
        <v>1.3483552262132967E-2</v>
      </c>
      <c r="D81" s="187">
        <f t="shared" si="56"/>
        <v>7.5764722234842583E-2</v>
      </c>
      <c r="E81" s="196">
        <f t="shared" si="56"/>
        <v>8.9755512891598443E-2</v>
      </c>
      <c r="F81" s="187">
        <f t="shared" si="56"/>
        <v>0.23435697979421632</v>
      </c>
      <c r="G81" s="187">
        <f t="shared" si="56"/>
        <v>9.4384865834930998E-2</v>
      </c>
      <c r="H81" s="187">
        <f t="shared" si="56"/>
        <v>3.9166508951910123E-2</v>
      </c>
      <c r="I81" s="196">
        <f t="shared" si="56"/>
        <v>0.12724616640477102</v>
      </c>
      <c r="J81" s="187">
        <f t="shared" si="56"/>
        <v>0.15452777469496556</v>
      </c>
      <c r="K81" s="187">
        <f t="shared" si="56"/>
        <v>0.15573975724159281</v>
      </c>
      <c r="L81" s="187">
        <f t="shared" si="56"/>
        <v>0.26300021261809825</v>
      </c>
      <c r="M81" s="196">
        <f t="shared" si="56"/>
        <v>0.30964336092504524</v>
      </c>
      <c r="N81" s="187">
        <f t="shared" si="56"/>
        <v>0.4035901880268512</v>
      </c>
      <c r="O81" s="187">
        <f t="shared" si="56"/>
        <v>0.37268463308785799</v>
      </c>
      <c r="P81" s="187">
        <f t="shared" si="56"/>
        <v>0.21755086711957886</v>
      </c>
      <c r="Q81" s="196">
        <f t="shared" si="56"/>
        <v>0.25875827370490295</v>
      </c>
      <c r="R81" s="187">
        <f t="shared" si="56"/>
        <v>0.42116393495294518</v>
      </c>
      <c r="S81" s="187">
        <f t="shared" si="56"/>
        <v>0.33390119159578818</v>
      </c>
      <c r="T81" s="186">
        <f>+T28*1000000/T84</f>
        <v>0.34177907814886482</v>
      </c>
      <c r="U81" s="196">
        <v>0.09</v>
      </c>
      <c r="V81" s="187">
        <v>0.23</v>
      </c>
      <c r="W81" s="187">
        <v>0.17</v>
      </c>
      <c r="X81" s="187">
        <v>0.27</v>
      </c>
      <c r="Y81" s="196">
        <v>0.17</v>
      </c>
      <c r="Z81" s="187">
        <v>0.15</v>
      </c>
      <c r="AA81" s="187">
        <v>0.28000000000000003</v>
      </c>
      <c r="AB81" s="187">
        <v>0.63</v>
      </c>
      <c r="AC81" s="196">
        <v>0.18</v>
      </c>
      <c r="AD81" s="187">
        <v>0.32</v>
      </c>
      <c r="AE81" s="187">
        <v>0.33</v>
      </c>
      <c r="AF81" s="187">
        <v>0.11</v>
      </c>
      <c r="AG81" s="196">
        <v>0.45</v>
      </c>
      <c r="AH81" s="187">
        <v>0.45</v>
      </c>
      <c r="AI81" s="187">
        <v>0.32</v>
      </c>
      <c r="AJ81" s="187">
        <v>0.44</v>
      </c>
      <c r="AK81" s="196">
        <v>0.33</v>
      </c>
      <c r="AL81" s="187">
        <v>0.41</v>
      </c>
      <c r="AM81" s="187">
        <v>0.24</v>
      </c>
      <c r="AN81" s="187">
        <v>0.13</v>
      </c>
      <c r="AO81" s="196">
        <v>0.3</v>
      </c>
      <c r="AP81" s="187">
        <v>0.33</v>
      </c>
      <c r="AQ81" s="187">
        <v>0.31</v>
      </c>
      <c r="AR81" s="187">
        <v>0.33</v>
      </c>
      <c r="AS81" s="196">
        <v>0.36</v>
      </c>
      <c r="AT81" s="187">
        <v>0.45</v>
      </c>
      <c r="AU81" s="187">
        <v>0.33</v>
      </c>
      <c r="AV81" s="187">
        <v>0.34</v>
      </c>
      <c r="AW81" s="196">
        <v>0.46</v>
      </c>
      <c r="AX81" s="187">
        <v>0.62</v>
      </c>
      <c r="AY81" s="186">
        <v>0.49</v>
      </c>
      <c r="AZ81" s="186">
        <v>0.43</v>
      </c>
      <c r="BA81" s="197">
        <v>0.5</v>
      </c>
      <c r="BB81" s="186">
        <v>0.41</v>
      </c>
      <c r="BC81" s="186">
        <v>0.39</v>
      </c>
      <c r="BD81" s="186">
        <v>0.4</v>
      </c>
      <c r="BE81" s="197">
        <v>0.5</v>
      </c>
      <c r="BF81" s="198"/>
      <c r="BG81" s="198"/>
      <c r="BH81" s="198"/>
      <c r="BI81" s="197"/>
      <c r="BJ81" s="198"/>
      <c r="BK81" s="198"/>
      <c r="BL81" s="198"/>
      <c r="BM81" s="197"/>
      <c r="BN81" s="198"/>
      <c r="BO81" s="198"/>
      <c r="BP81" s="198"/>
      <c r="BQ81" s="197"/>
      <c r="BR81" s="186"/>
      <c r="BS81" s="197"/>
      <c r="BT81" s="53"/>
      <c r="BU81" s="124"/>
      <c r="BV81" s="124"/>
      <c r="BW81" s="199"/>
      <c r="BX81" s="124"/>
      <c r="BY81" s="199"/>
      <c r="BZ81" s="124"/>
      <c r="CA81" s="199"/>
      <c r="CB81" s="124"/>
      <c r="CC81" s="185"/>
      <c r="CD81" s="74"/>
      <c r="CE81" s="185"/>
      <c r="CF81" s="185"/>
      <c r="CG81" s="185"/>
      <c r="CH81" s="200"/>
      <c r="CI81" s="200"/>
      <c r="CJ81" s="200"/>
      <c r="CK81" s="200"/>
    </row>
    <row r="82" spans="1:89" x14ac:dyDescent="0.15">
      <c r="A82" s="53" t="s">
        <v>169</v>
      </c>
      <c r="B82" s="186">
        <f t="shared" ref="B82:S82" si="57">B28*1000000/B86</f>
        <v>6.4207391724442559E-3</v>
      </c>
      <c r="C82" s="187">
        <f t="shared" si="57"/>
        <v>1.3483552262132967E-2</v>
      </c>
      <c r="D82" s="186">
        <f t="shared" si="57"/>
        <v>7.5764722234842583E-2</v>
      </c>
      <c r="E82" s="196">
        <f t="shared" si="57"/>
        <v>8.9755512891598443E-2</v>
      </c>
      <c r="F82" s="186">
        <f t="shared" si="57"/>
        <v>0.23435246564604734</v>
      </c>
      <c r="G82" s="187">
        <f t="shared" si="57"/>
        <v>9.4383047808134168E-2</v>
      </c>
      <c r="H82" s="186">
        <f t="shared" si="57"/>
        <v>3.9166508951910123E-2</v>
      </c>
      <c r="I82" s="196">
        <f t="shared" si="57"/>
        <v>0.12724616640477102</v>
      </c>
      <c r="J82" s="186">
        <f t="shared" si="57"/>
        <v>0.15452777469496556</v>
      </c>
      <c r="K82" s="187">
        <f t="shared" si="57"/>
        <v>0.15531053462110234</v>
      </c>
      <c r="L82" s="186">
        <f t="shared" si="57"/>
        <v>0.25980901606847534</v>
      </c>
      <c r="M82" s="196">
        <f t="shared" si="57"/>
        <v>0.30431688301373405</v>
      </c>
      <c r="N82" s="186">
        <f t="shared" si="57"/>
        <v>0.39063527818751154</v>
      </c>
      <c r="O82" s="187">
        <f t="shared" si="57"/>
        <v>0.36072176589387317</v>
      </c>
      <c r="P82" s="186">
        <f t="shared" si="57"/>
        <v>0.2105676649689438</v>
      </c>
      <c r="Q82" s="196">
        <f t="shared" si="57"/>
        <v>0.25045234802712812</v>
      </c>
      <c r="R82" s="186">
        <f t="shared" si="57"/>
        <v>0.40764492243291356</v>
      </c>
      <c r="S82" s="187">
        <f t="shared" si="57"/>
        <v>0.32348278925083945</v>
      </c>
      <c r="T82" s="186">
        <v>0.33</v>
      </c>
      <c r="U82" s="196">
        <v>0.09</v>
      </c>
      <c r="V82" s="187">
        <v>0.23</v>
      </c>
      <c r="W82" s="187">
        <v>0.17</v>
      </c>
      <c r="X82" s="187">
        <v>0.26</v>
      </c>
      <c r="Y82" s="196">
        <v>0.17</v>
      </c>
      <c r="Z82" s="187">
        <v>0.15</v>
      </c>
      <c r="AA82" s="187">
        <v>0.27</v>
      </c>
      <c r="AB82" s="187">
        <v>0.61</v>
      </c>
      <c r="AC82" s="196">
        <v>0.17</v>
      </c>
      <c r="AD82" s="187">
        <v>0.31</v>
      </c>
      <c r="AE82" s="187">
        <v>0.32</v>
      </c>
      <c r="AF82" s="187">
        <v>0.11</v>
      </c>
      <c r="AG82" s="196">
        <v>0.45</v>
      </c>
      <c r="AH82" s="187">
        <v>0.45</v>
      </c>
      <c r="AI82" s="187">
        <v>0.32</v>
      </c>
      <c r="AJ82" s="187">
        <v>0.44</v>
      </c>
      <c r="AK82" s="196">
        <v>0.33</v>
      </c>
      <c r="AL82" s="187">
        <v>0.41</v>
      </c>
      <c r="AM82" s="187">
        <v>0.24</v>
      </c>
      <c r="AN82" s="187">
        <v>0.13</v>
      </c>
      <c r="AO82" s="196">
        <v>0.3</v>
      </c>
      <c r="AP82" s="187">
        <v>0.33</v>
      </c>
      <c r="AQ82" s="187">
        <v>0.31</v>
      </c>
      <c r="AR82" s="187">
        <v>0.33</v>
      </c>
      <c r="AS82" s="196">
        <v>0.36</v>
      </c>
      <c r="AT82" s="187">
        <v>0.45</v>
      </c>
      <c r="AU82" s="187">
        <v>0.33</v>
      </c>
      <c r="AV82" s="187">
        <v>0.34</v>
      </c>
      <c r="AW82" s="196">
        <v>0.46</v>
      </c>
      <c r="AX82" s="187">
        <v>0.62</v>
      </c>
      <c r="AY82" s="186">
        <v>0.49</v>
      </c>
      <c r="AZ82" s="186">
        <v>0.43</v>
      </c>
      <c r="BA82" s="197">
        <v>0.5</v>
      </c>
      <c r="BB82" s="186">
        <v>0.41</v>
      </c>
      <c r="BC82" s="186">
        <v>0.39</v>
      </c>
      <c r="BD82" s="186">
        <v>0.4</v>
      </c>
      <c r="BE82" s="197">
        <v>0.5</v>
      </c>
      <c r="BF82" s="198"/>
      <c r="BG82" s="198"/>
      <c r="BH82" s="198"/>
      <c r="BI82" s="197"/>
      <c r="BJ82" s="198"/>
      <c r="BK82" s="198"/>
      <c r="BL82" s="198"/>
      <c r="BM82" s="197"/>
      <c r="BN82" s="198"/>
      <c r="BO82" s="198"/>
      <c r="BP82" s="198"/>
      <c r="BQ82" s="197"/>
      <c r="BR82" s="186"/>
      <c r="BS82" s="197"/>
      <c r="BT82" s="53"/>
      <c r="BU82" s="124"/>
      <c r="BV82" s="124"/>
      <c r="BW82" s="199"/>
      <c r="BX82" s="124"/>
      <c r="BY82" s="199"/>
      <c r="BZ82" s="124"/>
      <c r="CA82" s="199"/>
      <c r="CB82" s="124"/>
      <c r="CC82" s="185"/>
      <c r="CD82" s="74"/>
      <c r="CE82" s="185"/>
      <c r="CF82" s="185"/>
      <c r="CG82" s="185"/>
      <c r="CH82" s="200"/>
      <c r="CI82" s="200"/>
      <c r="CJ82" s="200"/>
      <c r="CK82" s="200"/>
    </row>
    <row r="83" spans="1:89" x14ac:dyDescent="0.15">
      <c r="A83" s="53" t="s">
        <v>65</v>
      </c>
      <c r="B83" s="17"/>
      <c r="C83" s="201"/>
      <c r="D83" s="17"/>
      <c r="E83" s="202"/>
      <c r="F83" s="17"/>
      <c r="G83" s="201"/>
      <c r="H83" s="17"/>
      <c r="I83" s="202" t="s">
        <v>166</v>
      </c>
      <c r="J83" s="17" t="s">
        <v>166</v>
      </c>
      <c r="K83" s="201" t="s">
        <v>166</v>
      </c>
      <c r="L83" s="17" t="s">
        <v>166</v>
      </c>
      <c r="M83" s="202">
        <v>0.1</v>
      </c>
      <c r="N83" s="17" t="s">
        <v>166</v>
      </c>
      <c r="O83" s="201" t="s">
        <v>166</v>
      </c>
      <c r="P83" s="17" t="s">
        <v>166</v>
      </c>
      <c r="Q83" s="202">
        <v>0.5</v>
      </c>
      <c r="R83" s="17" t="s">
        <v>166</v>
      </c>
      <c r="S83" s="201" t="s">
        <v>166</v>
      </c>
      <c r="T83" s="17" t="s">
        <v>166</v>
      </c>
      <c r="U83" s="202">
        <v>0.5</v>
      </c>
      <c r="V83" s="17" t="s">
        <v>166</v>
      </c>
      <c r="W83" s="201" t="s">
        <v>166</v>
      </c>
      <c r="X83" s="17" t="s">
        <v>166</v>
      </c>
      <c r="Y83" s="202">
        <v>0.5</v>
      </c>
      <c r="Z83" s="17" t="s">
        <v>166</v>
      </c>
      <c r="AA83" s="201" t="s">
        <v>166</v>
      </c>
      <c r="AB83" s="17" t="s">
        <v>166</v>
      </c>
      <c r="AC83" s="202">
        <v>0.5</v>
      </c>
      <c r="AD83" s="17" t="s">
        <v>166</v>
      </c>
      <c r="AE83" s="201" t="s">
        <v>166</v>
      </c>
      <c r="AF83" s="17" t="s">
        <v>166</v>
      </c>
      <c r="AG83" s="202">
        <v>0.5</v>
      </c>
      <c r="AH83" s="17" t="s">
        <v>166</v>
      </c>
      <c r="AI83" s="201" t="s">
        <v>166</v>
      </c>
      <c r="AJ83" s="17" t="s">
        <v>166</v>
      </c>
      <c r="AK83" s="202">
        <v>0.65</v>
      </c>
      <c r="AL83" s="17" t="s">
        <v>166</v>
      </c>
      <c r="AM83" s="18" t="s">
        <v>166</v>
      </c>
      <c r="AN83" s="18" t="s">
        <v>166</v>
      </c>
      <c r="AO83" s="202">
        <v>0.7</v>
      </c>
      <c r="AP83" s="18" t="s">
        <v>166</v>
      </c>
      <c r="AQ83" s="18" t="s">
        <v>166</v>
      </c>
      <c r="AR83" s="18" t="s">
        <v>166</v>
      </c>
      <c r="AS83" s="202">
        <v>0.85</v>
      </c>
      <c r="AT83" s="18" t="s">
        <v>166</v>
      </c>
      <c r="AU83" s="18" t="s">
        <v>166</v>
      </c>
      <c r="AV83" s="18" t="s">
        <v>166</v>
      </c>
      <c r="AW83" s="202">
        <v>1</v>
      </c>
      <c r="AX83" s="18" t="s">
        <v>166</v>
      </c>
      <c r="AY83" s="18" t="s">
        <v>166</v>
      </c>
      <c r="AZ83" s="18" t="s">
        <v>166</v>
      </c>
      <c r="BA83" s="19" t="s">
        <v>166</v>
      </c>
      <c r="BB83" s="18" t="s">
        <v>166</v>
      </c>
      <c r="BC83" s="203" t="s">
        <v>166</v>
      </c>
      <c r="BD83" s="203" t="s">
        <v>166</v>
      </c>
      <c r="BE83" s="204" t="s">
        <v>166</v>
      </c>
      <c r="BF83" s="205"/>
      <c r="BG83" s="205"/>
      <c r="BH83" s="205"/>
      <c r="BI83" s="204"/>
      <c r="BJ83" s="205"/>
      <c r="BK83" s="205"/>
      <c r="BL83" s="205"/>
      <c r="BM83" s="204"/>
      <c r="BN83" s="205"/>
      <c r="BO83" s="205"/>
      <c r="BP83" s="205"/>
      <c r="BQ83" s="204"/>
      <c r="BR83" s="203"/>
      <c r="BS83" s="204"/>
      <c r="BT83" s="18"/>
      <c r="BU83" s="20"/>
      <c r="BV83" s="20"/>
      <c r="BW83" s="20"/>
      <c r="BX83" s="20"/>
      <c r="BY83" s="20"/>
      <c r="BZ83" s="20"/>
      <c r="CA83" s="20"/>
      <c r="CB83" s="20"/>
      <c r="CC83" s="19"/>
      <c r="CD83" s="19"/>
      <c r="CE83" s="19"/>
      <c r="CF83" s="19"/>
      <c r="CG83" s="19"/>
      <c r="CH83" s="206"/>
      <c r="CI83" s="206"/>
      <c r="CJ83" s="206"/>
      <c r="CK83" s="206"/>
    </row>
    <row r="84" spans="1:89" x14ac:dyDescent="0.15">
      <c r="A84" s="53" t="s">
        <v>63</v>
      </c>
      <c r="B84" s="81">
        <v>155745308</v>
      </c>
      <c r="C84" s="82">
        <v>155745308</v>
      </c>
      <c r="D84" s="81">
        <v>155745308</v>
      </c>
      <c r="E84" s="207">
        <v>155745308</v>
      </c>
      <c r="F84" s="81">
        <v>155745308</v>
      </c>
      <c r="G84" s="82">
        <v>155745308</v>
      </c>
      <c r="H84" s="81">
        <v>155745308</v>
      </c>
      <c r="I84" s="207">
        <v>165018878</v>
      </c>
      <c r="J84" s="82">
        <v>165018878</v>
      </c>
      <c r="K84" s="82">
        <v>165018878</v>
      </c>
      <c r="L84" s="82">
        <v>165018878</v>
      </c>
      <c r="M84" s="207">
        <v>165018878</v>
      </c>
      <c r="N84" s="82">
        <v>165018878</v>
      </c>
      <c r="O84" s="82">
        <v>165018878</v>
      </c>
      <c r="P84" s="82">
        <v>165018878</v>
      </c>
      <c r="Q84" s="207">
        <v>165018878</v>
      </c>
      <c r="R84" s="82">
        <v>165018878</v>
      </c>
      <c r="S84" s="82">
        <v>165018878</v>
      </c>
      <c r="T84" s="81">
        <v>165018878</v>
      </c>
      <c r="U84" s="207">
        <v>165018878</v>
      </c>
      <c r="V84" s="81">
        <v>165018878</v>
      </c>
      <c r="W84" s="82">
        <v>165018878</v>
      </c>
      <c r="X84" s="81">
        <v>165018878</v>
      </c>
      <c r="Y84" s="207">
        <v>164347624</v>
      </c>
      <c r="Z84" s="81">
        <v>164344624</v>
      </c>
      <c r="AA84" s="82">
        <v>164347624</v>
      </c>
      <c r="AB84" s="81">
        <v>165529325</v>
      </c>
      <c r="AC84" s="207">
        <v>166937285</v>
      </c>
      <c r="AD84" s="81">
        <v>167698478</v>
      </c>
      <c r="AE84" s="82">
        <v>167827831</v>
      </c>
      <c r="AF84" s="81">
        <v>167842756</v>
      </c>
      <c r="AG84" s="207">
        <v>175027886</v>
      </c>
      <c r="AH84" s="81">
        <v>175027886</v>
      </c>
      <c r="AI84" s="81">
        <v>175027886</v>
      </c>
      <c r="AJ84" s="81">
        <v>175027886</v>
      </c>
      <c r="AK84" s="207">
        <v>175027886</v>
      </c>
      <c r="AL84" s="81">
        <v>175027886</v>
      </c>
      <c r="AM84" s="81">
        <v>175027886</v>
      </c>
      <c r="AN84" s="81">
        <v>175027886</v>
      </c>
      <c r="AO84" s="207">
        <v>175027886</v>
      </c>
      <c r="AP84" s="81">
        <v>175027886</v>
      </c>
      <c r="AQ84" s="44">
        <v>175027886</v>
      </c>
      <c r="AR84" s="81">
        <v>175027886</v>
      </c>
      <c r="AS84" s="207">
        <v>175027886</v>
      </c>
      <c r="AT84" s="81">
        <v>175027886</v>
      </c>
      <c r="AU84" s="44">
        <v>175027886</v>
      </c>
      <c r="AV84" s="81">
        <v>175027886</v>
      </c>
      <c r="AW84" s="207">
        <v>175027886</v>
      </c>
      <c r="AX84" s="44">
        <v>175027886</v>
      </c>
      <c r="AY84" s="44">
        <v>175027886</v>
      </c>
      <c r="AZ84" s="44">
        <v>175027886</v>
      </c>
      <c r="BA84" s="48">
        <v>174418830</v>
      </c>
      <c r="BB84" s="44">
        <v>174384363</v>
      </c>
      <c r="BC84" s="44">
        <v>174384363</v>
      </c>
      <c r="BD84" s="44">
        <v>174384363</v>
      </c>
      <c r="BE84" s="48">
        <v>174413807</v>
      </c>
      <c r="BF84" s="65"/>
      <c r="BG84" s="65"/>
      <c r="BH84" s="65"/>
      <c r="BI84" s="48"/>
      <c r="BJ84" s="65"/>
      <c r="BK84" s="65"/>
      <c r="BL84" s="65"/>
      <c r="BM84" s="48"/>
      <c r="BN84" s="65"/>
      <c r="BO84" s="65"/>
      <c r="BP84" s="65"/>
      <c r="BQ84" s="48"/>
      <c r="BR84" s="44"/>
      <c r="BS84" s="48"/>
      <c r="BT84" s="76"/>
      <c r="BU84" s="77">
        <f>+E84</f>
        <v>155745308</v>
      </c>
      <c r="BV84" s="77">
        <f>+I84</f>
        <v>165018878</v>
      </c>
      <c r="BW84" s="78">
        <f>+M84</f>
        <v>165018878</v>
      </c>
      <c r="BX84" s="77">
        <f>+Q84</f>
        <v>165018878</v>
      </c>
      <c r="BY84" s="78">
        <f>+U84</f>
        <v>165018878</v>
      </c>
      <c r="BZ84" s="77">
        <f>+Y84</f>
        <v>164347624</v>
      </c>
      <c r="CA84" s="78">
        <f>+AC84</f>
        <v>166937285</v>
      </c>
      <c r="CB84" s="77">
        <f>+AG84</f>
        <v>175027886</v>
      </c>
      <c r="CC84" s="79">
        <f>+AK84</f>
        <v>175027886</v>
      </c>
      <c r="CD84" s="80">
        <f>+AO84</f>
        <v>175027886</v>
      </c>
      <c r="CE84" s="79">
        <f>+AS84</f>
        <v>175027886</v>
      </c>
      <c r="CF84" s="79">
        <f>+AW84</f>
        <v>175027886</v>
      </c>
      <c r="CG84" s="79">
        <v>174418830</v>
      </c>
      <c r="CH84" s="79">
        <f>+BE84</f>
        <v>174413807</v>
      </c>
      <c r="CI84" s="79">
        <f>+BI84</f>
        <v>0</v>
      </c>
      <c r="CJ84" s="79">
        <f t="shared" ref="CJ84:CK86" si="58">+BM84</f>
        <v>0</v>
      </c>
      <c r="CK84" s="79">
        <f t="shared" si="58"/>
        <v>0</v>
      </c>
    </row>
    <row r="85" spans="1:89" x14ac:dyDescent="0.15">
      <c r="A85" s="53" t="s">
        <v>66</v>
      </c>
      <c r="B85" s="81">
        <v>155745308</v>
      </c>
      <c r="C85" s="82">
        <v>155745308</v>
      </c>
      <c r="D85" s="81">
        <v>155745308</v>
      </c>
      <c r="E85" s="207">
        <v>155745308</v>
      </c>
      <c r="F85" s="81">
        <v>155745308</v>
      </c>
      <c r="G85" s="82">
        <v>155745308</v>
      </c>
      <c r="H85" s="81">
        <v>155745308</v>
      </c>
      <c r="I85" s="207">
        <v>158063701</v>
      </c>
      <c r="J85" s="82">
        <v>165018878</v>
      </c>
      <c r="K85" s="82">
        <v>165018878</v>
      </c>
      <c r="L85" s="82">
        <v>165018878</v>
      </c>
      <c r="M85" s="207">
        <v>165018878</v>
      </c>
      <c r="N85" s="82">
        <v>165018878</v>
      </c>
      <c r="O85" s="82">
        <v>165018878</v>
      </c>
      <c r="P85" s="82">
        <v>165018878</v>
      </c>
      <c r="Q85" s="207">
        <v>165018878</v>
      </c>
      <c r="R85" s="82">
        <v>165018878</v>
      </c>
      <c r="S85" s="82">
        <v>165018878</v>
      </c>
      <c r="T85" s="81">
        <v>165018878</v>
      </c>
      <c r="U85" s="207">
        <v>165018878</v>
      </c>
      <c r="V85" s="81">
        <v>165018878</v>
      </c>
      <c r="W85" s="82">
        <v>165018878</v>
      </c>
      <c r="X85" s="81">
        <v>165018878</v>
      </c>
      <c r="Y85" s="207">
        <v>164941468</v>
      </c>
      <c r="Z85" s="81">
        <v>164344624</v>
      </c>
      <c r="AA85" s="82">
        <v>164941468</v>
      </c>
      <c r="AB85" s="81">
        <v>164458057</v>
      </c>
      <c r="AC85" s="207">
        <v>166487782</v>
      </c>
      <c r="AD85" s="81">
        <v>167444747</v>
      </c>
      <c r="AE85" s="82">
        <v>167636289</v>
      </c>
      <c r="AF85" s="81">
        <v>167837781</v>
      </c>
      <c r="AG85" s="207">
        <v>174792398</v>
      </c>
      <c r="AH85" s="81">
        <v>175027886</v>
      </c>
      <c r="AI85" s="81">
        <v>175027886</v>
      </c>
      <c r="AJ85" s="81">
        <v>175027886</v>
      </c>
      <c r="AK85" s="207">
        <v>175027886</v>
      </c>
      <c r="AL85" s="81">
        <v>175027886</v>
      </c>
      <c r="AM85" s="81">
        <v>175027886</v>
      </c>
      <c r="AN85" s="81">
        <v>175027886</v>
      </c>
      <c r="AO85" s="207">
        <v>175027886</v>
      </c>
      <c r="AP85" s="81">
        <v>175027886</v>
      </c>
      <c r="AQ85" s="44">
        <v>175027886</v>
      </c>
      <c r="AR85" s="81">
        <v>175027886</v>
      </c>
      <c r="AS85" s="207">
        <v>175027886</v>
      </c>
      <c r="AT85" s="81">
        <v>175027886</v>
      </c>
      <c r="AU85" s="44">
        <v>175027886</v>
      </c>
      <c r="AV85" s="81">
        <v>175027886</v>
      </c>
      <c r="AW85" s="207">
        <v>175027886</v>
      </c>
      <c r="AX85" s="44">
        <v>175027886</v>
      </c>
      <c r="AY85" s="44">
        <v>175027886</v>
      </c>
      <c r="AZ85" s="44">
        <v>175027886</v>
      </c>
      <c r="BA85" s="48">
        <v>174950604</v>
      </c>
      <c r="BB85" s="44">
        <v>174400378</v>
      </c>
      <c r="BC85" s="44">
        <v>174384363</v>
      </c>
      <c r="BD85" s="44">
        <v>174384363</v>
      </c>
      <c r="BE85" s="48">
        <v>174393815</v>
      </c>
      <c r="BF85" s="65"/>
      <c r="BG85" s="65"/>
      <c r="BH85" s="65"/>
      <c r="BI85" s="48"/>
      <c r="BJ85" s="65"/>
      <c r="BK85" s="65"/>
      <c r="BL85" s="65"/>
      <c r="BM85" s="48"/>
      <c r="BN85" s="65"/>
      <c r="BO85" s="65"/>
      <c r="BP85" s="65"/>
      <c r="BQ85" s="48"/>
      <c r="BR85" s="44"/>
      <c r="BS85" s="48"/>
      <c r="BT85" s="76"/>
      <c r="BU85" s="77">
        <f>+E85</f>
        <v>155745308</v>
      </c>
      <c r="BV85" s="77">
        <f>+I85</f>
        <v>158063701</v>
      </c>
      <c r="BW85" s="78">
        <f>+M85</f>
        <v>165018878</v>
      </c>
      <c r="BX85" s="77">
        <f>+Q85</f>
        <v>165018878</v>
      </c>
      <c r="BY85" s="78">
        <f>+U85</f>
        <v>165018878</v>
      </c>
      <c r="BZ85" s="77">
        <f>+Y85</f>
        <v>164941468</v>
      </c>
      <c r="CA85" s="78">
        <f>+AC85</f>
        <v>166487782</v>
      </c>
      <c r="CB85" s="77">
        <f>+AG85</f>
        <v>174792398</v>
      </c>
      <c r="CC85" s="79">
        <f>+AK85</f>
        <v>175027886</v>
      </c>
      <c r="CD85" s="80">
        <f>+AO85</f>
        <v>175027886</v>
      </c>
      <c r="CE85" s="79">
        <f>+AS85</f>
        <v>175027886</v>
      </c>
      <c r="CF85" s="79">
        <f>+AW85</f>
        <v>175027886</v>
      </c>
      <c r="CG85" s="79">
        <v>174950604</v>
      </c>
      <c r="CH85" s="79">
        <f>+BE85</f>
        <v>174393815</v>
      </c>
      <c r="CI85" s="79">
        <f>+BI85</f>
        <v>0</v>
      </c>
      <c r="CJ85" s="79">
        <f t="shared" si="58"/>
        <v>0</v>
      </c>
      <c r="CK85" s="79">
        <f t="shared" si="58"/>
        <v>0</v>
      </c>
    </row>
    <row r="86" spans="1:89" ht="14.25" customHeight="1" x14ac:dyDescent="0.15">
      <c r="A86" s="53" t="s">
        <v>67</v>
      </c>
      <c r="B86" s="81">
        <v>155745308</v>
      </c>
      <c r="C86" s="81">
        <v>155745308</v>
      </c>
      <c r="D86" s="81">
        <v>155745308</v>
      </c>
      <c r="E86" s="130">
        <v>155745308</v>
      </c>
      <c r="F86" s="81">
        <v>155748308</v>
      </c>
      <c r="G86" s="81">
        <v>155748308</v>
      </c>
      <c r="H86" s="81">
        <v>155745308</v>
      </c>
      <c r="I86" s="130">
        <v>158063701</v>
      </c>
      <c r="J86" s="82">
        <v>165018878</v>
      </c>
      <c r="K86" s="81">
        <v>165474931</v>
      </c>
      <c r="L86" s="82">
        <v>167045781</v>
      </c>
      <c r="M86" s="130">
        <v>167907214</v>
      </c>
      <c r="N86" s="82">
        <v>170491514</v>
      </c>
      <c r="O86" s="81">
        <v>170491514</v>
      </c>
      <c r="P86" s="82">
        <v>170491514</v>
      </c>
      <c r="Q86" s="130">
        <v>170491514</v>
      </c>
      <c r="R86" s="82">
        <v>170491514</v>
      </c>
      <c r="S86" s="81">
        <v>170333637</v>
      </c>
      <c r="T86" s="81">
        <v>169544251</v>
      </c>
      <c r="U86" s="130">
        <v>169544251</v>
      </c>
      <c r="V86" s="81">
        <v>169544251</v>
      </c>
      <c r="W86" s="81">
        <v>169544251</v>
      </c>
      <c r="X86" s="81">
        <v>169544251</v>
      </c>
      <c r="Y86" s="130">
        <v>169466841</v>
      </c>
      <c r="Z86" s="81">
        <v>168869997</v>
      </c>
      <c r="AA86" s="81">
        <v>169466841</v>
      </c>
      <c r="AB86" s="81">
        <v>168869997</v>
      </c>
      <c r="AC86" s="130">
        <v>169094748</v>
      </c>
      <c r="AD86" s="81">
        <v>169544251</v>
      </c>
      <c r="AE86" s="81">
        <v>169544251</v>
      </c>
      <c r="AF86" s="81">
        <v>171703805</v>
      </c>
      <c r="AG86" s="130">
        <v>175359562</v>
      </c>
      <c r="AH86" s="81">
        <v>175027886</v>
      </c>
      <c r="AI86" s="81">
        <v>175027886</v>
      </c>
      <c r="AJ86" s="81">
        <v>175027886</v>
      </c>
      <c r="AK86" s="130">
        <v>175027886</v>
      </c>
      <c r="AL86" s="81">
        <v>175027886</v>
      </c>
      <c r="AM86" s="81">
        <v>175027886</v>
      </c>
      <c r="AN86" s="81">
        <v>175027886</v>
      </c>
      <c r="AO86" s="130">
        <v>175027886</v>
      </c>
      <c r="AP86" s="81">
        <v>175027886</v>
      </c>
      <c r="AQ86" s="44">
        <v>175027886</v>
      </c>
      <c r="AR86" s="81">
        <v>175027886</v>
      </c>
      <c r="AS86" s="130">
        <v>175027886</v>
      </c>
      <c r="AT86" s="81">
        <v>175027886</v>
      </c>
      <c r="AU86" s="44">
        <v>175027886</v>
      </c>
      <c r="AV86" s="81">
        <v>175027886</v>
      </c>
      <c r="AW86" s="130">
        <v>175096811</v>
      </c>
      <c r="AX86" s="44">
        <v>175179220</v>
      </c>
      <c r="AY86" s="44">
        <v>175235168</v>
      </c>
      <c r="AZ86" s="44">
        <v>175386484</v>
      </c>
      <c r="BA86" s="48">
        <v>175299370</v>
      </c>
      <c r="BB86" s="44">
        <v>174788132</v>
      </c>
      <c r="BC86" s="44">
        <v>174716376</v>
      </c>
      <c r="BD86" s="44">
        <v>174798719</v>
      </c>
      <c r="BE86" s="48">
        <v>174779791</v>
      </c>
      <c r="BF86" s="65"/>
      <c r="BG86" s="65"/>
      <c r="BH86" s="65"/>
      <c r="BI86" s="48"/>
      <c r="BJ86" s="65"/>
      <c r="BK86" s="65"/>
      <c r="BL86" s="65"/>
      <c r="BM86" s="48"/>
      <c r="BN86" s="65"/>
      <c r="BO86" s="65"/>
      <c r="BP86" s="65"/>
      <c r="BQ86" s="48"/>
      <c r="BR86" s="44"/>
      <c r="BS86" s="48"/>
      <c r="BT86" s="76"/>
      <c r="BU86" s="77">
        <f>+E86</f>
        <v>155745308</v>
      </c>
      <c r="BV86" s="77">
        <f>+I86</f>
        <v>158063701</v>
      </c>
      <c r="BW86" s="78">
        <f>+M86</f>
        <v>167907214</v>
      </c>
      <c r="BX86" s="77">
        <f>+Q86</f>
        <v>170491514</v>
      </c>
      <c r="BY86" s="78">
        <f>+U86</f>
        <v>169544251</v>
      </c>
      <c r="BZ86" s="77">
        <f>+Y86</f>
        <v>169466841</v>
      </c>
      <c r="CA86" s="78">
        <f>+AC86</f>
        <v>169094748</v>
      </c>
      <c r="CB86" s="77">
        <f>+AG86</f>
        <v>175359562</v>
      </c>
      <c r="CC86" s="79">
        <f>+AK86</f>
        <v>175027886</v>
      </c>
      <c r="CD86" s="80">
        <f>+AO86</f>
        <v>175027886</v>
      </c>
      <c r="CE86" s="79">
        <f>+AS86</f>
        <v>175027886</v>
      </c>
      <c r="CF86" s="79">
        <f>+AW86</f>
        <v>175096811</v>
      </c>
      <c r="CG86" s="79">
        <v>175299370</v>
      </c>
      <c r="CH86" s="79">
        <f>+BE86</f>
        <v>174779791</v>
      </c>
      <c r="CI86" s="79">
        <f>+BI86</f>
        <v>0</v>
      </c>
      <c r="CJ86" s="79">
        <f t="shared" si="58"/>
        <v>0</v>
      </c>
      <c r="CK86" s="79">
        <f t="shared" si="58"/>
        <v>0</v>
      </c>
    </row>
    <row r="87" spans="1:89" s="21" customFormat="1" x14ac:dyDescent="0.15">
      <c r="BC87" s="22"/>
      <c r="BD87" s="22"/>
      <c r="BE87" s="22"/>
      <c r="BF87" s="22"/>
      <c r="BG87" s="22"/>
      <c r="BH87" s="22"/>
      <c r="BI87" s="22"/>
      <c r="BJ87" s="22"/>
      <c r="BK87" s="22"/>
      <c r="BL87" s="22"/>
      <c r="BM87" s="22"/>
      <c r="BN87" s="22"/>
      <c r="BO87" s="22"/>
      <c r="BP87" s="22"/>
      <c r="BQ87" s="22"/>
      <c r="BR87" s="22"/>
      <c r="BS87" s="22"/>
    </row>
    <row r="88" spans="1:89" s="21" customFormat="1" x14ac:dyDescent="0.15">
      <c r="BC88" s="22"/>
      <c r="BD88" s="22"/>
      <c r="BE88" s="22"/>
      <c r="BF88" s="22"/>
      <c r="BG88" s="22"/>
      <c r="BH88" s="22"/>
      <c r="BI88" s="22"/>
      <c r="BJ88" s="22"/>
      <c r="BK88" s="22"/>
      <c r="BL88" s="22"/>
      <c r="BM88" s="22"/>
      <c r="BN88" s="22"/>
      <c r="BO88" s="22"/>
      <c r="BP88" s="22"/>
      <c r="BQ88" s="22"/>
      <c r="BR88" s="22"/>
      <c r="BS88" s="22"/>
    </row>
    <row r="89" spans="1:89" s="21" customFormat="1" x14ac:dyDescent="0.15">
      <c r="BC89" s="22"/>
      <c r="BD89" s="22"/>
      <c r="BE89" s="22"/>
      <c r="BF89" s="22"/>
      <c r="BG89" s="22"/>
      <c r="BH89" s="22"/>
      <c r="BI89" s="22"/>
      <c r="BJ89" s="22"/>
      <c r="BK89" s="22"/>
      <c r="BL89" s="22"/>
      <c r="BM89" s="22"/>
      <c r="BN89" s="22"/>
      <c r="BO89" s="22"/>
      <c r="BP89" s="22"/>
      <c r="BQ89" s="22"/>
      <c r="BR89" s="22"/>
      <c r="BS89" s="22"/>
    </row>
    <row r="90" spans="1:89" s="21" customFormat="1" x14ac:dyDescent="0.15">
      <c r="BA90" s="22"/>
      <c r="BC90" s="22"/>
      <c r="BD90" s="22"/>
      <c r="BE90" s="22"/>
      <c r="BF90" s="22"/>
      <c r="BG90" s="22"/>
      <c r="BH90" s="22"/>
      <c r="BI90" s="22"/>
      <c r="BJ90" s="22"/>
      <c r="BK90" s="22"/>
      <c r="BL90" s="22"/>
      <c r="BM90" s="22"/>
      <c r="BN90" s="22"/>
      <c r="BO90" s="22"/>
      <c r="BP90" s="22"/>
      <c r="BQ90" s="22"/>
      <c r="BR90" s="22"/>
      <c r="BS90" s="22"/>
    </row>
    <row r="91" spans="1:89" s="21" customFormat="1" x14ac:dyDescent="0.15">
      <c r="BC91" s="22"/>
      <c r="BD91" s="22"/>
      <c r="BE91" s="22"/>
      <c r="BF91" s="22"/>
      <c r="BG91" s="22"/>
      <c r="BH91" s="22"/>
      <c r="BI91" s="22"/>
      <c r="BJ91" s="22"/>
      <c r="BK91" s="22"/>
      <c r="BL91" s="22"/>
      <c r="BM91" s="22"/>
      <c r="BN91" s="22"/>
      <c r="BO91" s="22"/>
      <c r="BP91" s="22"/>
      <c r="BQ91" s="22"/>
      <c r="BR91" s="22"/>
      <c r="BS91" s="22"/>
    </row>
    <row r="92" spans="1:89" s="21" customFormat="1" x14ac:dyDescent="0.15">
      <c r="BC92" s="22"/>
      <c r="BD92" s="22"/>
      <c r="BE92" s="22"/>
      <c r="BF92" s="22"/>
      <c r="BG92" s="22"/>
      <c r="BH92" s="22"/>
      <c r="BI92" s="22"/>
      <c r="BJ92" s="22"/>
      <c r="BK92" s="22"/>
      <c r="BL92" s="22"/>
      <c r="BM92" s="22"/>
      <c r="BN92" s="22"/>
      <c r="BO92" s="22"/>
      <c r="BP92" s="22"/>
      <c r="BQ92" s="22"/>
      <c r="BR92" s="22"/>
      <c r="BS92" s="22"/>
    </row>
    <row r="93" spans="1:89" s="21" customFormat="1" x14ac:dyDescent="0.15">
      <c r="BC93" s="22"/>
      <c r="BD93" s="22"/>
      <c r="BE93" s="22"/>
      <c r="BF93" s="22"/>
      <c r="BG93" s="22"/>
      <c r="BH93" s="22"/>
      <c r="BI93" s="22"/>
      <c r="BJ93" s="22"/>
      <c r="BK93" s="22"/>
      <c r="BL93" s="22"/>
      <c r="BM93" s="22"/>
      <c r="BN93" s="22"/>
      <c r="BO93" s="22"/>
      <c r="BP93" s="22"/>
      <c r="BQ93" s="22"/>
      <c r="BR93" s="22"/>
      <c r="BS93" s="22"/>
    </row>
    <row r="94" spans="1:89" s="21" customFormat="1" x14ac:dyDescent="0.15">
      <c r="BC94" s="22"/>
      <c r="BD94" s="22"/>
      <c r="BE94" s="22"/>
      <c r="BF94" s="22"/>
      <c r="BG94" s="22"/>
      <c r="BH94" s="22"/>
      <c r="BI94" s="22"/>
      <c r="BJ94" s="22"/>
      <c r="BK94" s="22"/>
      <c r="BL94" s="22"/>
      <c r="BM94" s="22"/>
      <c r="BN94" s="22"/>
      <c r="BO94" s="22"/>
      <c r="BP94" s="22"/>
      <c r="BQ94" s="22"/>
      <c r="BR94" s="22"/>
      <c r="BS94" s="22"/>
    </row>
    <row r="95" spans="1:89" s="21" customFormat="1" x14ac:dyDescent="0.15">
      <c r="BC95" s="22"/>
      <c r="BD95" s="22"/>
      <c r="BE95" s="22"/>
      <c r="BF95" s="22"/>
      <c r="BG95" s="22"/>
      <c r="BH95" s="22"/>
      <c r="BI95" s="22"/>
      <c r="BJ95" s="22"/>
      <c r="BK95" s="22"/>
      <c r="BL95" s="22"/>
      <c r="BM95" s="22"/>
      <c r="BN95" s="22"/>
      <c r="BO95" s="22"/>
      <c r="BP95" s="22"/>
      <c r="BQ95" s="22"/>
      <c r="BR95" s="22"/>
      <c r="BS95" s="22"/>
    </row>
    <row r="96" spans="1:89" s="21" customFormat="1" x14ac:dyDescent="0.15">
      <c r="BC96" s="22"/>
      <c r="BD96" s="22"/>
      <c r="BE96" s="22"/>
      <c r="BF96" s="22"/>
      <c r="BG96" s="22"/>
      <c r="BH96" s="22"/>
      <c r="BI96" s="22"/>
      <c r="BJ96" s="22"/>
      <c r="BK96" s="22"/>
      <c r="BL96" s="22"/>
      <c r="BM96" s="22"/>
      <c r="BN96" s="22"/>
      <c r="BO96" s="22"/>
      <c r="BP96" s="22"/>
      <c r="BQ96" s="22"/>
      <c r="BR96" s="22"/>
      <c r="BS96" s="22"/>
    </row>
    <row r="97" spans="1:83" s="21" customFormat="1" x14ac:dyDescent="0.15">
      <c r="BC97" s="22"/>
      <c r="BD97" s="22"/>
      <c r="BE97" s="22"/>
      <c r="BF97" s="22"/>
      <c r="BG97" s="22"/>
      <c r="BH97" s="22"/>
      <c r="BI97" s="22"/>
      <c r="BJ97" s="22"/>
      <c r="BK97" s="22"/>
      <c r="BL97" s="22"/>
      <c r="BM97" s="22"/>
      <c r="BN97" s="22"/>
      <c r="BO97" s="22"/>
      <c r="BP97" s="22"/>
      <c r="BQ97" s="22"/>
      <c r="BR97" s="22"/>
      <c r="BS97" s="22"/>
    </row>
    <row r="98" spans="1:83" s="21" customFormat="1" x14ac:dyDescent="0.15">
      <c r="BC98" s="22"/>
      <c r="BD98" s="22"/>
      <c r="BE98" s="22"/>
      <c r="BF98" s="22"/>
      <c r="BG98" s="22"/>
      <c r="BH98" s="22"/>
      <c r="BI98" s="22"/>
      <c r="BJ98" s="22"/>
      <c r="BK98" s="22"/>
      <c r="BL98" s="22"/>
      <c r="BM98" s="22"/>
      <c r="BN98" s="22"/>
      <c r="BO98" s="22"/>
      <c r="BP98" s="22"/>
      <c r="BQ98" s="22"/>
      <c r="BR98" s="22"/>
      <c r="BS98" s="22"/>
    </row>
    <row r="99" spans="1:83" s="21" customFormat="1" x14ac:dyDescent="0.15">
      <c r="BC99" s="22"/>
      <c r="BD99" s="22"/>
      <c r="BE99" s="22"/>
      <c r="BF99" s="22"/>
      <c r="BG99" s="22"/>
      <c r="BH99" s="22"/>
      <c r="BI99" s="22"/>
      <c r="BJ99" s="22"/>
      <c r="BK99" s="22"/>
      <c r="BL99" s="22"/>
      <c r="BM99" s="22"/>
      <c r="BN99" s="22"/>
      <c r="BO99" s="22"/>
      <c r="BP99" s="22"/>
      <c r="BQ99" s="22"/>
      <c r="BR99" s="22"/>
      <c r="BS99" s="22"/>
    </row>
    <row r="100" spans="1:83" s="21" customFormat="1" x14ac:dyDescent="0.15">
      <c r="A100" s="208"/>
      <c r="C100" s="208"/>
      <c r="E100" s="208"/>
      <c r="G100" s="208"/>
      <c r="I100" s="208"/>
      <c r="K100" s="208"/>
      <c r="M100" s="208"/>
      <c r="O100" s="208"/>
      <c r="Q100" s="208"/>
      <c r="S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9"/>
      <c r="BD100" s="209"/>
      <c r="BE100" s="209"/>
      <c r="BF100" s="209"/>
      <c r="BG100" s="209"/>
      <c r="BH100" s="209"/>
      <c r="BI100" s="209"/>
      <c r="BJ100" s="209"/>
      <c r="BK100" s="209"/>
      <c r="BL100" s="209"/>
      <c r="BM100" s="209"/>
      <c r="BN100" s="209"/>
      <c r="BO100" s="209"/>
      <c r="BP100" s="209"/>
      <c r="BQ100" s="209"/>
      <c r="BR100" s="209"/>
      <c r="BS100" s="209"/>
      <c r="BT100" s="208"/>
      <c r="BU100" s="208"/>
      <c r="BV100" s="208"/>
      <c r="BW100" s="208"/>
      <c r="BX100" s="208"/>
      <c r="BY100" s="208"/>
      <c r="BZ100" s="208"/>
      <c r="CA100" s="208"/>
      <c r="CB100" s="208"/>
      <c r="CC100" s="208"/>
      <c r="CD100" s="208"/>
      <c r="CE100" s="208"/>
    </row>
    <row r="101" spans="1:83" s="21" customFormat="1" x14ac:dyDescent="0.15">
      <c r="BC101" s="22"/>
      <c r="BD101" s="22"/>
      <c r="BE101" s="22"/>
      <c r="BF101" s="22"/>
      <c r="BG101" s="22"/>
      <c r="BH101" s="22"/>
      <c r="BI101" s="22"/>
      <c r="BJ101" s="22"/>
      <c r="BK101" s="22"/>
      <c r="BL101" s="22"/>
      <c r="BM101" s="22"/>
      <c r="BN101" s="22"/>
      <c r="BO101" s="22"/>
      <c r="BP101" s="22"/>
      <c r="BQ101" s="22"/>
      <c r="BR101" s="22"/>
      <c r="BS101" s="22"/>
    </row>
    <row r="102" spans="1:83" s="21" customFormat="1" x14ac:dyDescent="0.15">
      <c r="A102" s="208"/>
      <c r="C102" s="208"/>
      <c r="E102" s="208"/>
      <c r="G102" s="208"/>
      <c r="I102" s="208"/>
      <c r="K102" s="208"/>
      <c r="M102" s="208"/>
      <c r="O102" s="208"/>
      <c r="Q102" s="208"/>
      <c r="S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9"/>
      <c r="BD102" s="209"/>
      <c r="BE102" s="209"/>
      <c r="BF102" s="209"/>
      <c r="BG102" s="209"/>
      <c r="BH102" s="209"/>
      <c r="BI102" s="209"/>
      <c r="BJ102" s="209"/>
      <c r="BK102" s="209"/>
      <c r="BL102" s="209"/>
      <c r="BM102" s="209"/>
      <c r="BN102" s="209"/>
      <c r="BO102" s="209"/>
      <c r="BP102" s="209"/>
      <c r="BQ102" s="209"/>
      <c r="BR102" s="209"/>
      <c r="BS102" s="209"/>
      <c r="BT102" s="208"/>
      <c r="BU102" s="208"/>
      <c r="BV102" s="208"/>
      <c r="BW102" s="208"/>
      <c r="BX102" s="208"/>
      <c r="BY102" s="208"/>
      <c r="BZ102" s="208"/>
      <c r="CA102" s="208"/>
      <c r="CB102" s="208"/>
      <c r="CC102" s="208"/>
      <c r="CD102" s="208"/>
      <c r="CE102" s="208"/>
    </row>
    <row r="103" spans="1:83" s="21" customFormat="1" x14ac:dyDescent="0.15">
      <c r="BC103" s="22"/>
      <c r="BD103" s="22"/>
      <c r="BE103" s="22"/>
      <c r="BF103" s="22"/>
      <c r="BG103" s="22"/>
      <c r="BH103" s="22"/>
      <c r="BI103" s="22"/>
      <c r="BJ103" s="22"/>
      <c r="BK103" s="22"/>
      <c r="BL103" s="22"/>
      <c r="BM103" s="22"/>
      <c r="BN103" s="22"/>
      <c r="BO103" s="22"/>
      <c r="BP103" s="22"/>
      <c r="BQ103" s="22"/>
      <c r="BR103" s="22"/>
      <c r="BS103" s="22"/>
    </row>
    <row r="104" spans="1:83" s="21" customFormat="1" x14ac:dyDescent="0.15">
      <c r="A104" s="208"/>
      <c r="C104" s="208"/>
      <c r="E104" s="208"/>
      <c r="G104" s="208"/>
      <c r="I104" s="208"/>
      <c r="K104" s="208"/>
      <c r="M104" s="208"/>
      <c r="O104" s="208"/>
      <c r="Q104" s="208"/>
      <c r="S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9"/>
      <c r="BD104" s="209"/>
      <c r="BE104" s="209"/>
      <c r="BF104" s="209"/>
      <c r="BG104" s="209"/>
      <c r="BH104" s="209"/>
      <c r="BI104" s="209"/>
      <c r="BJ104" s="209"/>
      <c r="BK104" s="209"/>
      <c r="BL104" s="209"/>
      <c r="BM104" s="209"/>
      <c r="BN104" s="209"/>
      <c r="BO104" s="209"/>
      <c r="BP104" s="209"/>
      <c r="BQ104" s="209"/>
      <c r="BR104" s="209"/>
      <c r="BS104" s="209"/>
      <c r="BT104" s="208"/>
      <c r="BU104" s="208"/>
      <c r="BV104" s="208"/>
      <c r="BW104" s="208"/>
      <c r="BX104" s="208"/>
      <c r="BY104" s="208"/>
      <c r="BZ104" s="208"/>
      <c r="CA104" s="208"/>
      <c r="CB104" s="208"/>
      <c r="CC104" s="208"/>
      <c r="CD104" s="208"/>
      <c r="CE104" s="208"/>
    </row>
    <row r="105" spans="1:83" s="21" customFormat="1" x14ac:dyDescent="0.15">
      <c r="BC105" s="22"/>
      <c r="BD105" s="22"/>
      <c r="BE105" s="22"/>
      <c r="BF105" s="22"/>
      <c r="BG105" s="22"/>
      <c r="BH105" s="22"/>
      <c r="BI105" s="22"/>
      <c r="BJ105" s="22"/>
      <c r="BK105" s="22"/>
      <c r="BL105" s="22"/>
      <c r="BM105" s="22"/>
      <c r="BN105" s="22"/>
      <c r="BO105" s="22"/>
      <c r="BP105" s="22"/>
      <c r="BQ105" s="22"/>
      <c r="BR105" s="22"/>
      <c r="BS105" s="22"/>
    </row>
    <row r="106" spans="1:83" s="21" customFormat="1" x14ac:dyDescent="0.15">
      <c r="A106" s="208"/>
      <c r="C106" s="208"/>
      <c r="E106" s="208"/>
      <c r="G106" s="208"/>
      <c r="I106" s="208"/>
      <c r="K106" s="208"/>
      <c r="M106" s="208"/>
      <c r="O106" s="208"/>
      <c r="Q106" s="208"/>
      <c r="S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9"/>
      <c r="BD106" s="209"/>
      <c r="BE106" s="209"/>
      <c r="BF106" s="209"/>
      <c r="BG106" s="209"/>
      <c r="BH106" s="209"/>
      <c r="BI106" s="209"/>
      <c r="BJ106" s="209"/>
      <c r="BK106" s="209"/>
      <c r="BL106" s="209"/>
      <c r="BM106" s="209"/>
      <c r="BN106" s="209"/>
      <c r="BO106" s="209"/>
      <c r="BP106" s="209"/>
      <c r="BQ106" s="209"/>
      <c r="BR106" s="209"/>
      <c r="BS106" s="209"/>
      <c r="BT106" s="208"/>
      <c r="BU106" s="208"/>
      <c r="BV106" s="208"/>
      <c r="BW106" s="208"/>
      <c r="BX106" s="208"/>
      <c r="BY106" s="208"/>
      <c r="BZ106" s="208"/>
      <c r="CA106" s="208"/>
      <c r="CB106" s="208"/>
      <c r="CC106" s="208"/>
      <c r="CD106" s="208"/>
      <c r="CE106" s="208"/>
    </row>
    <row r="107" spans="1:83" s="21" customFormat="1" x14ac:dyDescent="0.15">
      <c r="BC107" s="22"/>
      <c r="BD107" s="22"/>
      <c r="BE107" s="22"/>
      <c r="BF107" s="22"/>
      <c r="BG107" s="22"/>
      <c r="BH107" s="22"/>
      <c r="BI107" s="22"/>
      <c r="BJ107" s="22"/>
      <c r="BK107" s="22"/>
      <c r="BL107" s="22"/>
      <c r="BM107" s="22"/>
      <c r="BN107" s="22"/>
      <c r="BO107" s="22"/>
      <c r="BP107" s="22"/>
      <c r="BQ107" s="22"/>
      <c r="BR107" s="22"/>
      <c r="BS107" s="22"/>
    </row>
    <row r="108" spans="1:83" s="21" customFormat="1" x14ac:dyDescent="0.15">
      <c r="BC108" s="22"/>
      <c r="BD108" s="22"/>
      <c r="BE108" s="22"/>
      <c r="BF108" s="22"/>
      <c r="BG108" s="22"/>
      <c r="BH108" s="22"/>
      <c r="BI108" s="22"/>
      <c r="BJ108" s="22"/>
      <c r="BK108" s="22"/>
      <c r="BL108" s="22"/>
      <c r="BM108" s="22"/>
      <c r="BN108" s="22"/>
      <c r="BO108" s="22"/>
      <c r="BP108" s="22"/>
      <c r="BQ108" s="22"/>
      <c r="BR108" s="22"/>
      <c r="BS108" s="22"/>
    </row>
    <row r="109" spans="1:83" s="21" customFormat="1" x14ac:dyDescent="0.15">
      <c r="BC109" s="22"/>
      <c r="BD109" s="22"/>
      <c r="BE109" s="22"/>
      <c r="BF109" s="22"/>
      <c r="BG109" s="22"/>
      <c r="BH109" s="22"/>
      <c r="BI109" s="22"/>
      <c r="BJ109" s="22"/>
      <c r="BK109" s="22"/>
      <c r="BL109" s="22"/>
      <c r="BM109" s="22"/>
      <c r="BN109" s="22"/>
      <c r="BO109" s="22"/>
      <c r="BP109" s="22"/>
      <c r="BQ109" s="22"/>
      <c r="BR109" s="22"/>
      <c r="BS109" s="22"/>
    </row>
    <row r="110" spans="1:83" s="21" customFormat="1" x14ac:dyDescent="0.15">
      <c r="BC110" s="22"/>
      <c r="BD110" s="22"/>
      <c r="BE110" s="22"/>
      <c r="BF110" s="22"/>
      <c r="BG110" s="22"/>
      <c r="BH110" s="22"/>
      <c r="BI110" s="22"/>
      <c r="BJ110" s="22"/>
      <c r="BK110" s="22"/>
      <c r="BL110" s="22"/>
      <c r="BM110" s="22"/>
      <c r="BN110" s="22"/>
      <c r="BO110" s="22"/>
      <c r="BP110" s="22"/>
      <c r="BQ110" s="22"/>
      <c r="BR110" s="22"/>
      <c r="BS110" s="22"/>
    </row>
    <row r="111" spans="1:83" s="21" customFormat="1" x14ac:dyDescent="0.15">
      <c r="BC111" s="22"/>
      <c r="BD111" s="22"/>
      <c r="BE111" s="22"/>
      <c r="BF111" s="22"/>
      <c r="BG111" s="22"/>
      <c r="BH111" s="22"/>
      <c r="BI111" s="22"/>
      <c r="BJ111" s="22"/>
      <c r="BK111" s="22"/>
      <c r="BL111" s="22"/>
      <c r="BM111" s="22"/>
      <c r="BN111" s="22"/>
      <c r="BO111" s="22"/>
      <c r="BP111" s="22"/>
      <c r="BQ111" s="22"/>
      <c r="BR111" s="22"/>
      <c r="BS111" s="22"/>
    </row>
    <row r="112" spans="1:83" s="21" customFormat="1" x14ac:dyDescent="0.15">
      <c r="BC112" s="22"/>
      <c r="BD112" s="22"/>
      <c r="BE112" s="22"/>
      <c r="BF112" s="22"/>
      <c r="BG112" s="22"/>
      <c r="BH112" s="22"/>
      <c r="BI112" s="22"/>
      <c r="BJ112" s="22"/>
      <c r="BK112" s="22"/>
      <c r="BL112" s="22"/>
      <c r="BM112" s="22"/>
      <c r="BN112" s="22"/>
      <c r="BO112" s="22"/>
      <c r="BP112" s="22"/>
      <c r="BQ112" s="22"/>
      <c r="BR112" s="22"/>
      <c r="BS112" s="22"/>
    </row>
    <row r="113" spans="1:83" s="21" customFormat="1" x14ac:dyDescent="0.15">
      <c r="BC113" s="22"/>
      <c r="BD113" s="22"/>
      <c r="BE113" s="22"/>
      <c r="BF113" s="22"/>
      <c r="BG113" s="22"/>
      <c r="BH113" s="22"/>
      <c r="BI113" s="22"/>
      <c r="BJ113" s="22"/>
      <c r="BK113" s="22"/>
      <c r="BL113" s="22"/>
      <c r="BM113" s="22"/>
      <c r="BN113" s="22"/>
      <c r="BO113" s="22"/>
      <c r="BP113" s="22"/>
      <c r="BQ113" s="22"/>
      <c r="BR113" s="22"/>
      <c r="BS113" s="22"/>
    </row>
    <row r="114" spans="1:83" s="21" customFormat="1" x14ac:dyDescent="0.15">
      <c r="BC114" s="22"/>
      <c r="BD114" s="22"/>
      <c r="BE114" s="22"/>
      <c r="BF114" s="22"/>
      <c r="BG114" s="22"/>
      <c r="BH114" s="22"/>
      <c r="BI114" s="22"/>
      <c r="BJ114" s="22"/>
      <c r="BK114" s="22"/>
      <c r="BL114" s="22"/>
      <c r="BM114" s="22"/>
      <c r="BN114" s="22"/>
      <c r="BO114" s="22"/>
      <c r="BP114" s="22"/>
      <c r="BQ114" s="22"/>
      <c r="BR114" s="22"/>
      <c r="BS114" s="22"/>
    </row>
    <row r="115" spans="1:83" s="21" customFormat="1" x14ac:dyDescent="0.15">
      <c r="BC115" s="22"/>
      <c r="BD115" s="22"/>
      <c r="BE115" s="22"/>
      <c r="BF115" s="22"/>
      <c r="BG115" s="22"/>
      <c r="BH115" s="22"/>
      <c r="BI115" s="22"/>
      <c r="BJ115" s="22"/>
      <c r="BK115" s="22"/>
      <c r="BL115" s="22"/>
      <c r="BM115" s="22"/>
      <c r="BN115" s="22"/>
      <c r="BO115" s="22"/>
      <c r="BP115" s="22"/>
      <c r="BQ115" s="22"/>
      <c r="BR115" s="22"/>
      <c r="BS115" s="22"/>
    </row>
    <row r="116" spans="1:83" s="21" customFormat="1" x14ac:dyDescent="0.15">
      <c r="BC116" s="22"/>
      <c r="BD116" s="22"/>
      <c r="BE116" s="22"/>
      <c r="BF116" s="22"/>
      <c r="BG116" s="22"/>
      <c r="BH116" s="22"/>
      <c r="BI116" s="22"/>
      <c r="BJ116" s="22"/>
      <c r="BK116" s="22"/>
      <c r="BL116" s="22"/>
      <c r="BM116" s="22"/>
      <c r="BN116" s="22"/>
      <c r="BO116" s="22"/>
      <c r="BP116" s="22"/>
      <c r="BQ116" s="22"/>
      <c r="BR116" s="22"/>
      <c r="BS116" s="22"/>
    </row>
    <row r="117" spans="1:83" s="21" customFormat="1" x14ac:dyDescent="0.15">
      <c r="BC117" s="22"/>
      <c r="BD117" s="22"/>
      <c r="BE117" s="22"/>
      <c r="BF117" s="22"/>
      <c r="BG117" s="22"/>
      <c r="BH117" s="22"/>
      <c r="BI117" s="22"/>
      <c r="BJ117" s="22"/>
      <c r="BK117" s="22"/>
      <c r="BL117" s="22"/>
      <c r="BM117" s="22"/>
      <c r="BN117" s="22"/>
      <c r="BO117" s="22"/>
      <c r="BP117" s="22"/>
      <c r="BQ117" s="22"/>
      <c r="BR117" s="22"/>
      <c r="BS117" s="22"/>
    </row>
    <row r="118" spans="1:83" s="21" customFormat="1" x14ac:dyDescent="0.15">
      <c r="BC118" s="22"/>
      <c r="BD118" s="22"/>
      <c r="BE118" s="22"/>
      <c r="BF118" s="22"/>
      <c r="BG118" s="22"/>
      <c r="BH118" s="22"/>
      <c r="BI118" s="22"/>
      <c r="BJ118" s="22"/>
      <c r="BK118" s="22"/>
      <c r="BL118" s="22"/>
      <c r="BM118" s="22"/>
      <c r="BN118" s="22"/>
      <c r="BO118" s="22"/>
      <c r="BP118" s="22"/>
      <c r="BQ118" s="22"/>
      <c r="BR118" s="22"/>
      <c r="BS118" s="22"/>
    </row>
    <row r="119" spans="1:83" s="21" customFormat="1" x14ac:dyDescent="0.15">
      <c r="BC119" s="22"/>
      <c r="BD119" s="22"/>
      <c r="BE119" s="22"/>
      <c r="BF119" s="22"/>
      <c r="BG119" s="22"/>
      <c r="BH119" s="22"/>
      <c r="BI119" s="22"/>
      <c r="BJ119" s="22"/>
      <c r="BK119" s="22"/>
      <c r="BL119" s="22"/>
      <c r="BM119" s="22"/>
      <c r="BN119" s="22"/>
      <c r="BO119" s="22"/>
      <c r="BP119" s="22"/>
      <c r="BQ119" s="22"/>
      <c r="BR119" s="22"/>
      <c r="BS119" s="22"/>
    </row>
    <row r="120" spans="1:83" s="21" customFormat="1" x14ac:dyDescent="0.15">
      <c r="BC120" s="22"/>
      <c r="BD120" s="22"/>
      <c r="BE120" s="22"/>
      <c r="BF120" s="22"/>
      <c r="BG120" s="22"/>
      <c r="BH120" s="22"/>
      <c r="BI120" s="22"/>
      <c r="BJ120" s="22"/>
      <c r="BK120" s="22"/>
      <c r="BL120" s="22"/>
      <c r="BM120" s="22"/>
      <c r="BN120" s="22"/>
      <c r="BO120" s="22"/>
      <c r="BP120" s="22"/>
      <c r="BQ120" s="22"/>
      <c r="BR120" s="22"/>
      <c r="BS120" s="22"/>
    </row>
    <row r="121" spans="1:83" s="21" customFormat="1" x14ac:dyDescent="0.15">
      <c r="A121" s="208"/>
      <c r="C121" s="208"/>
      <c r="E121" s="208"/>
      <c r="G121" s="208"/>
      <c r="I121" s="208"/>
      <c r="K121" s="208"/>
      <c r="M121" s="208"/>
      <c r="O121" s="208"/>
      <c r="Q121" s="208"/>
      <c r="S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9"/>
      <c r="BD121" s="209"/>
      <c r="BE121" s="209"/>
      <c r="BF121" s="209"/>
      <c r="BG121" s="209"/>
      <c r="BH121" s="209"/>
      <c r="BI121" s="209"/>
      <c r="BJ121" s="209"/>
      <c r="BK121" s="209"/>
      <c r="BL121" s="209"/>
      <c r="BM121" s="209"/>
      <c r="BN121" s="209"/>
      <c r="BO121" s="209"/>
      <c r="BP121" s="209"/>
      <c r="BQ121" s="209"/>
      <c r="BR121" s="209"/>
      <c r="BS121" s="209"/>
      <c r="BT121" s="208"/>
      <c r="BU121" s="208"/>
      <c r="BV121" s="208"/>
      <c r="BW121" s="208"/>
      <c r="BX121" s="208"/>
      <c r="BY121" s="208"/>
      <c r="BZ121" s="208"/>
      <c r="CA121" s="208"/>
      <c r="CB121" s="208"/>
      <c r="CC121" s="208"/>
      <c r="CD121" s="208"/>
      <c r="CE121" s="208"/>
    </row>
    <row r="122" spans="1:83" s="21" customFormat="1" x14ac:dyDescent="0.15">
      <c r="BC122" s="22"/>
      <c r="BD122" s="22"/>
      <c r="BE122" s="22"/>
      <c r="BF122" s="22"/>
      <c r="BG122" s="22"/>
      <c r="BH122" s="22"/>
      <c r="BI122" s="22"/>
      <c r="BJ122" s="22"/>
      <c r="BK122" s="22"/>
      <c r="BL122" s="22"/>
      <c r="BM122" s="22"/>
      <c r="BN122" s="22"/>
      <c r="BO122" s="22"/>
      <c r="BP122" s="22"/>
      <c r="BQ122" s="22"/>
      <c r="BR122" s="22"/>
      <c r="BS122" s="22"/>
    </row>
    <row r="123" spans="1:83" s="21" customFormat="1" x14ac:dyDescent="0.15">
      <c r="BC123" s="22"/>
      <c r="BD123" s="22"/>
      <c r="BE123" s="22"/>
      <c r="BF123" s="22"/>
      <c r="BG123" s="22"/>
      <c r="BH123" s="22"/>
      <c r="BI123" s="22"/>
      <c r="BJ123" s="22"/>
      <c r="BK123" s="22"/>
      <c r="BL123" s="22"/>
      <c r="BM123" s="22"/>
      <c r="BN123" s="22"/>
      <c r="BO123" s="22"/>
      <c r="BP123" s="22"/>
      <c r="BQ123" s="22"/>
      <c r="BR123" s="22"/>
      <c r="BS123" s="22"/>
    </row>
    <row r="124" spans="1:83" s="21" customFormat="1" x14ac:dyDescent="0.15">
      <c r="BC124" s="22"/>
      <c r="BD124" s="22"/>
      <c r="BE124" s="22"/>
      <c r="BF124" s="22"/>
      <c r="BG124" s="22"/>
      <c r="BH124" s="22"/>
      <c r="BI124" s="22"/>
      <c r="BJ124" s="22"/>
      <c r="BK124" s="22"/>
      <c r="BL124" s="22"/>
      <c r="BM124" s="22"/>
      <c r="BN124" s="22"/>
      <c r="BO124" s="22"/>
      <c r="BP124" s="22"/>
      <c r="BQ124" s="22"/>
      <c r="BR124" s="22"/>
      <c r="BS124" s="22"/>
    </row>
    <row r="125" spans="1:83" s="21" customFormat="1" x14ac:dyDescent="0.15">
      <c r="BC125" s="22"/>
      <c r="BD125" s="22"/>
      <c r="BE125" s="22"/>
      <c r="BF125" s="22"/>
      <c r="BG125" s="22"/>
      <c r="BH125" s="22"/>
      <c r="BI125" s="22"/>
      <c r="BJ125" s="22"/>
      <c r="BK125" s="22"/>
      <c r="BL125" s="22"/>
      <c r="BM125" s="22"/>
      <c r="BN125" s="22"/>
      <c r="BO125" s="22"/>
      <c r="BP125" s="22"/>
      <c r="BQ125" s="22"/>
      <c r="BR125" s="22"/>
      <c r="BS125" s="22"/>
    </row>
    <row r="126" spans="1:83" s="21" customFormat="1" x14ac:dyDescent="0.15">
      <c r="BC126" s="22"/>
      <c r="BD126" s="22"/>
      <c r="BE126" s="22"/>
      <c r="BF126" s="22"/>
      <c r="BG126" s="22"/>
      <c r="BH126" s="22"/>
      <c r="BI126" s="22"/>
      <c r="BJ126" s="22"/>
      <c r="BK126" s="22"/>
      <c r="BL126" s="22"/>
      <c r="BM126" s="22"/>
      <c r="BN126" s="22"/>
      <c r="BO126" s="22"/>
      <c r="BP126" s="22"/>
      <c r="BQ126" s="22"/>
      <c r="BR126" s="22"/>
      <c r="BS126" s="22"/>
    </row>
    <row r="127" spans="1:83" s="21" customFormat="1" x14ac:dyDescent="0.15">
      <c r="A127" s="208"/>
      <c r="C127" s="208"/>
      <c r="E127" s="208"/>
      <c r="G127" s="208"/>
      <c r="I127" s="208"/>
      <c r="K127" s="208"/>
      <c r="M127" s="208"/>
      <c r="O127" s="208"/>
      <c r="Q127" s="208"/>
      <c r="S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9"/>
      <c r="BD127" s="209"/>
      <c r="BE127" s="209"/>
      <c r="BF127" s="209"/>
      <c r="BG127" s="209"/>
      <c r="BH127" s="209"/>
      <c r="BI127" s="209"/>
      <c r="BJ127" s="209"/>
      <c r="BK127" s="209"/>
      <c r="BL127" s="209"/>
      <c r="BM127" s="209"/>
      <c r="BN127" s="209"/>
      <c r="BO127" s="209"/>
      <c r="BP127" s="209"/>
      <c r="BQ127" s="209"/>
      <c r="BR127" s="209"/>
      <c r="BS127" s="209"/>
      <c r="BT127" s="208"/>
      <c r="BU127" s="208"/>
      <c r="BV127" s="208"/>
      <c r="BW127" s="208"/>
      <c r="BX127" s="208"/>
      <c r="BY127" s="208"/>
      <c r="BZ127" s="208"/>
      <c r="CA127" s="208"/>
      <c r="CB127" s="208"/>
      <c r="CC127" s="208"/>
      <c r="CD127" s="208"/>
      <c r="CE127" s="208"/>
    </row>
    <row r="128" spans="1:83" s="21" customFormat="1" x14ac:dyDescent="0.15">
      <c r="A128" s="208"/>
      <c r="C128" s="208"/>
      <c r="E128" s="208"/>
      <c r="G128" s="208"/>
      <c r="I128" s="208"/>
      <c r="K128" s="208"/>
      <c r="M128" s="208"/>
      <c r="O128" s="208"/>
      <c r="Q128" s="208"/>
      <c r="S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9"/>
      <c r="BD128" s="209"/>
      <c r="BE128" s="209"/>
      <c r="BF128" s="209"/>
      <c r="BG128" s="209"/>
      <c r="BH128" s="209"/>
      <c r="BI128" s="209"/>
      <c r="BJ128" s="209"/>
      <c r="BK128" s="209"/>
      <c r="BL128" s="209"/>
      <c r="BM128" s="209"/>
      <c r="BN128" s="209"/>
      <c r="BO128" s="209"/>
      <c r="BP128" s="209"/>
      <c r="BQ128" s="209"/>
      <c r="BR128" s="209"/>
      <c r="BS128" s="209"/>
      <c r="BT128" s="208"/>
      <c r="BU128" s="208"/>
      <c r="BV128" s="208"/>
      <c r="BW128" s="208"/>
      <c r="BX128" s="208"/>
      <c r="BY128" s="208"/>
      <c r="BZ128" s="208"/>
      <c r="CA128" s="208"/>
      <c r="CB128" s="208"/>
      <c r="CC128" s="208"/>
      <c r="CD128" s="208"/>
      <c r="CE128" s="208"/>
    </row>
    <row r="129" spans="1:83" s="21" customFormat="1" x14ac:dyDescent="0.15">
      <c r="A129" s="208"/>
      <c r="C129" s="208"/>
      <c r="E129" s="208"/>
      <c r="G129" s="208"/>
      <c r="I129" s="208"/>
      <c r="K129" s="208"/>
      <c r="M129" s="208"/>
      <c r="O129" s="208"/>
      <c r="Q129" s="208"/>
      <c r="S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9"/>
      <c r="BD129" s="209"/>
      <c r="BE129" s="209"/>
      <c r="BF129" s="209"/>
      <c r="BG129" s="209"/>
      <c r="BH129" s="209"/>
      <c r="BI129" s="209"/>
      <c r="BJ129" s="209"/>
      <c r="BK129" s="209"/>
      <c r="BL129" s="209"/>
      <c r="BM129" s="209"/>
      <c r="BN129" s="209"/>
      <c r="BO129" s="209"/>
      <c r="BP129" s="209"/>
      <c r="BQ129" s="209"/>
      <c r="BR129" s="209"/>
      <c r="BS129" s="209"/>
      <c r="BT129" s="208"/>
      <c r="BU129" s="208"/>
      <c r="BV129" s="208"/>
      <c r="BW129" s="208"/>
      <c r="BX129" s="208"/>
      <c r="BY129" s="208"/>
      <c r="BZ129" s="208"/>
      <c r="CA129" s="208"/>
      <c r="CB129" s="208"/>
      <c r="CC129" s="208"/>
      <c r="CD129" s="208"/>
      <c r="CE129" s="208"/>
    </row>
    <row r="130" spans="1:83" s="21" customFormat="1" x14ac:dyDescent="0.15">
      <c r="BC130" s="22"/>
      <c r="BD130" s="22"/>
      <c r="BE130" s="22"/>
      <c r="BF130" s="22"/>
      <c r="BG130" s="22"/>
      <c r="BH130" s="22"/>
      <c r="BI130" s="22"/>
      <c r="BJ130" s="22"/>
      <c r="BK130" s="22"/>
      <c r="BL130" s="22"/>
      <c r="BM130" s="22"/>
      <c r="BN130" s="22"/>
      <c r="BO130" s="22"/>
      <c r="BP130" s="22"/>
      <c r="BQ130" s="22"/>
      <c r="BR130" s="22"/>
      <c r="BS130" s="22"/>
    </row>
    <row r="131" spans="1:83" s="21" customFormat="1" x14ac:dyDescent="0.15">
      <c r="BC131" s="22"/>
      <c r="BD131" s="22"/>
      <c r="BE131" s="22"/>
      <c r="BF131" s="22"/>
      <c r="BG131" s="22"/>
      <c r="BH131" s="22"/>
      <c r="BI131" s="22"/>
      <c r="BJ131" s="22"/>
      <c r="BK131" s="22"/>
      <c r="BL131" s="22"/>
      <c r="BM131" s="22"/>
      <c r="BN131" s="22"/>
      <c r="BO131" s="22"/>
      <c r="BP131" s="22"/>
      <c r="BQ131" s="22"/>
      <c r="BR131" s="22"/>
      <c r="BS131" s="22"/>
    </row>
    <row r="132" spans="1:83" s="21" customFormat="1" x14ac:dyDescent="0.15">
      <c r="BC132" s="22"/>
      <c r="BD132" s="22"/>
      <c r="BE132" s="22"/>
      <c r="BF132" s="22"/>
      <c r="BG132" s="22"/>
      <c r="BH132" s="22"/>
      <c r="BI132" s="22"/>
      <c r="BJ132" s="22"/>
      <c r="BK132" s="22"/>
      <c r="BL132" s="22"/>
      <c r="BM132" s="22"/>
      <c r="BN132" s="22"/>
      <c r="BO132" s="22"/>
      <c r="BP132" s="22"/>
      <c r="BQ132" s="22"/>
      <c r="BR132" s="22"/>
      <c r="BS132" s="22"/>
    </row>
    <row r="133" spans="1:83" s="21" customFormat="1" x14ac:dyDescent="0.15">
      <c r="BC133" s="22"/>
      <c r="BD133" s="22"/>
      <c r="BE133" s="22"/>
      <c r="BF133" s="22"/>
      <c r="BG133" s="22"/>
      <c r="BH133" s="22"/>
      <c r="BI133" s="22"/>
      <c r="BJ133" s="22"/>
      <c r="BK133" s="22"/>
      <c r="BL133" s="22"/>
      <c r="BM133" s="22"/>
      <c r="BN133" s="22"/>
      <c r="BO133" s="22"/>
      <c r="BP133" s="22"/>
      <c r="BQ133" s="22"/>
      <c r="BR133" s="22"/>
      <c r="BS133" s="22"/>
    </row>
    <row r="134" spans="1:83" s="21" customFormat="1" x14ac:dyDescent="0.15">
      <c r="BC134" s="22"/>
      <c r="BD134" s="22"/>
      <c r="BE134" s="22"/>
      <c r="BF134" s="22"/>
      <c r="BG134" s="22"/>
      <c r="BH134" s="22"/>
      <c r="BI134" s="22"/>
      <c r="BJ134" s="22"/>
      <c r="BK134" s="22"/>
      <c r="BL134" s="22"/>
      <c r="BM134" s="22"/>
      <c r="BN134" s="22"/>
      <c r="BO134" s="22"/>
      <c r="BP134" s="22"/>
      <c r="BQ134" s="22"/>
      <c r="BR134" s="22"/>
      <c r="BS134" s="22"/>
    </row>
    <row r="135" spans="1:83" s="21" customFormat="1" x14ac:dyDescent="0.15">
      <c r="BC135" s="22"/>
      <c r="BD135" s="22"/>
      <c r="BE135" s="22"/>
      <c r="BF135" s="22"/>
      <c r="BG135" s="22"/>
      <c r="BH135" s="22"/>
      <c r="BI135" s="22"/>
      <c r="BJ135" s="22"/>
      <c r="BK135" s="22"/>
      <c r="BL135" s="22"/>
      <c r="BM135" s="22"/>
      <c r="BN135" s="22"/>
      <c r="BO135" s="22"/>
      <c r="BP135" s="22"/>
      <c r="BQ135" s="22"/>
      <c r="BR135" s="22"/>
      <c r="BS135" s="22"/>
    </row>
    <row r="136" spans="1:83" s="21" customFormat="1" x14ac:dyDescent="0.15">
      <c r="BC136" s="22"/>
      <c r="BD136" s="22"/>
      <c r="BE136" s="22"/>
      <c r="BF136" s="22"/>
      <c r="BG136" s="22"/>
      <c r="BH136" s="22"/>
      <c r="BI136" s="22"/>
      <c r="BJ136" s="22"/>
      <c r="BK136" s="22"/>
      <c r="BL136" s="22"/>
      <c r="BM136" s="22"/>
      <c r="BN136" s="22"/>
      <c r="BO136" s="22"/>
      <c r="BP136" s="22"/>
      <c r="BQ136" s="22"/>
      <c r="BR136" s="22"/>
      <c r="BS136" s="22"/>
    </row>
    <row r="137" spans="1:83" s="21" customFormat="1" x14ac:dyDescent="0.15">
      <c r="BC137" s="22"/>
      <c r="BD137" s="22"/>
      <c r="BE137" s="22"/>
      <c r="BF137" s="22"/>
      <c r="BG137" s="22"/>
      <c r="BH137" s="22"/>
      <c r="BI137" s="22"/>
      <c r="BJ137" s="22"/>
      <c r="BK137" s="22"/>
      <c r="BL137" s="22"/>
      <c r="BM137" s="22"/>
      <c r="BN137" s="22"/>
      <c r="BO137" s="22"/>
      <c r="BP137" s="22"/>
      <c r="BQ137" s="22"/>
      <c r="BR137" s="22"/>
      <c r="BS137" s="22"/>
    </row>
    <row r="138" spans="1:83" s="21" customFormat="1" x14ac:dyDescent="0.15">
      <c r="BC138" s="22"/>
      <c r="BD138" s="22"/>
      <c r="BE138" s="22"/>
      <c r="BF138" s="22"/>
      <c r="BG138" s="22"/>
      <c r="BH138" s="22"/>
      <c r="BI138" s="22"/>
      <c r="BJ138" s="22"/>
      <c r="BK138" s="22"/>
      <c r="BL138" s="22"/>
      <c r="BM138" s="22"/>
      <c r="BN138" s="22"/>
      <c r="BO138" s="22"/>
      <c r="BP138" s="22"/>
      <c r="BQ138" s="22"/>
      <c r="BR138" s="22"/>
      <c r="BS138" s="22"/>
    </row>
    <row r="139" spans="1:83" s="21" customFormat="1" x14ac:dyDescent="0.15">
      <c r="BC139" s="22"/>
      <c r="BD139" s="22"/>
      <c r="BE139" s="22"/>
      <c r="BF139" s="22"/>
      <c r="BG139" s="22"/>
      <c r="BH139" s="22"/>
      <c r="BI139" s="22"/>
      <c r="BJ139" s="22"/>
      <c r="BK139" s="22"/>
      <c r="BL139" s="22"/>
      <c r="BM139" s="22"/>
      <c r="BN139" s="22"/>
      <c r="BO139" s="22"/>
      <c r="BP139" s="22"/>
      <c r="BQ139" s="22"/>
      <c r="BR139" s="22"/>
      <c r="BS139" s="22"/>
    </row>
    <row r="140" spans="1:83" s="21" customFormat="1" x14ac:dyDescent="0.15">
      <c r="BC140" s="22"/>
      <c r="BD140" s="22"/>
      <c r="BE140" s="22"/>
      <c r="BF140" s="22"/>
      <c r="BG140" s="22"/>
      <c r="BH140" s="22"/>
      <c r="BI140" s="22"/>
      <c r="BJ140" s="22"/>
      <c r="BK140" s="22"/>
      <c r="BL140" s="22"/>
      <c r="BM140" s="22"/>
      <c r="BN140" s="22"/>
      <c r="BO140" s="22"/>
      <c r="BP140" s="22"/>
      <c r="BQ140" s="22"/>
      <c r="BR140" s="22"/>
      <c r="BS140" s="22"/>
    </row>
    <row r="141" spans="1:83" s="21" customFormat="1" x14ac:dyDescent="0.15">
      <c r="BC141" s="22"/>
      <c r="BD141" s="22"/>
      <c r="BE141" s="22"/>
      <c r="BF141" s="22"/>
      <c r="BG141" s="22"/>
      <c r="BH141" s="22"/>
      <c r="BI141" s="22"/>
      <c r="BJ141" s="22"/>
      <c r="BK141" s="22"/>
      <c r="BL141" s="22"/>
      <c r="BM141" s="22"/>
      <c r="BN141" s="22"/>
      <c r="BO141" s="22"/>
      <c r="BP141" s="22"/>
      <c r="BQ141" s="22"/>
      <c r="BR141" s="22"/>
      <c r="BS141" s="22"/>
    </row>
    <row r="142" spans="1:83" s="21" customFormat="1" x14ac:dyDescent="0.15">
      <c r="BC142" s="22"/>
      <c r="BD142" s="22"/>
      <c r="BE142" s="22"/>
      <c r="BF142" s="22"/>
      <c r="BG142" s="22"/>
      <c r="BH142" s="22"/>
      <c r="BI142" s="22"/>
      <c r="BJ142" s="22"/>
      <c r="BK142" s="22"/>
      <c r="BL142" s="22"/>
      <c r="BM142" s="22"/>
      <c r="BN142" s="22"/>
      <c r="BO142" s="22"/>
      <c r="BP142" s="22"/>
      <c r="BQ142" s="22"/>
      <c r="BR142" s="22"/>
      <c r="BS142" s="22"/>
    </row>
    <row r="143" spans="1:83" s="21" customFormat="1" x14ac:dyDescent="0.15">
      <c r="BC143" s="22"/>
      <c r="BD143" s="22"/>
      <c r="BE143" s="22"/>
      <c r="BF143" s="22"/>
      <c r="BG143" s="22"/>
      <c r="BH143" s="22"/>
      <c r="BI143" s="22"/>
      <c r="BJ143" s="22"/>
      <c r="BK143" s="22"/>
      <c r="BL143" s="22"/>
      <c r="BM143" s="22"/>
      <c r="BN143" s="22"/>
      <c r="BO143" s="22"/>
      <c r="BP143" s="22"/>
      <c r="BQ143" s="22"/>
      <c r="BR143" s="22"/>
      <c r="BS143" s="2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Group</vt:lpstr>
      <vt:lpstr>Sweden</vt:lpstr>
      <vt:lpstr>Norway</vt:lpstr>
      <vt:lpstr>Denmark</vt:lpstr>
      <vt:lpstr>Finland</vt:lpstr>
      <vt:lpstr>Definitions</vt:lpstr>
      <vt:lpstr>Nordnet by quarter (old)</vt:lpstr>
      <vt:lpstr>Group!Print_Area</vt:lpstr>
      <vt:lpstr>Sweden!Print_Area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2026-07-16T14:07:52Z</dcterms:modified>
</cp:coreProperties>
</file>